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ys\public\Projects\JUB\Shoshone Bannock Tribe\BUILD 2019\BCA\"/>
    </mc:Choice>
  </mc:AlternateContent>
  <xr:revisionPtr revIDLastSave="0" documentId="13_ncr:1_{BC730058-20A7-480F-BE4B-60E4F5050074}" xr6:coauthVersionLast="36" xr6:coauthVersionMax="43" xr10:uidLastSave="{00000000-0000-0000-0000-000000000000}"/>
  <bookViews>
    <workbookView xWindow="-28920" yWindow="-120" windowWidth="29040" windowHeight="15840" tabRatio="685" xr2:uid="{00000000-000D-0000-FFFF-FFFF00000000}"/>
  </bookViews>
  <sheets>
    <sheet name="Travel" sheetId="1" r:id="rId1"/>
    <sheet name="Travel-Safety" sheetId="15" r:id="rId2"/>
    <sheet name="Travel-WalkingBiking" sheetId="6" r:id="rId3"/>
    <sheet name="Res. Property Value" sheetId="4" r:id="rId4"/>
    <sheet name="New Development" sheetId="5" r:id="rId5"/>
    <sheet name="Lifetime Maint. Costs-Trails" sheetId="2" r:id="rId6"/>
    <sheet name="Solar Lighting" sheetId="8" r:id="rId7"/>
    <sheet name="Transit Bus System" sheetId="9" r:id="rId8"/>
    <sheet name="Transit Bus Maint." sheetId="11" r:id="rId9"/>
    <sheet name="Storm Drains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5" i="15" l="1"/>
  <c r="C60" i="15"/>
  <c r="C59" i="15"/>
  <c r="C6" i="13" l="1"/>
  <c r="G7" i="13"/>
  <c r="F7" i="13"/>
  <c r="G9" i="13"/>
  <c r="F9" i="13"/>
  <c r="G8" i="13"/>
  <c r="F8" i="13"/>
  <c r="F11" i="13"/>
  <c r="F30" i="11"/>
  <c r="E30" i="11"/>
  <c r="D54" i="9"/>
  <c r="B54" i="9"/>
  <c r="F53" i="9"/>
  <c r="D53" i="9"/>
  <c r="B53" i="9"/>
  <c r="M7" i="9"/>
  <c r="L7" i="9"/>
  <c r="K7" i="9"/>
  <c r="O7" i="9"/>
  <c r="J7" i="9"/>
  <c r="E7" i="9"/>
  <c r="F7" i="9" s="1"/>
  <c r="E10" i="5"/>
  <c r="G30" i="4"/>
  <c r="D30" i="4"/>
  <c r="C52" i="6"/>
  <c r="B52" i="6"/>
  <c r="N7" i="6"/>
  <c r="F8" i="6"/>
  <c r="F7" i="6"/>
  <c r="G7" i="6" s="1"/>
  <c r="L7" i="6"/>
  <c r="M7" i="6" s="1"/>
  <c r="H7" i="15"/>
  <c r="F7" i="15"/>
  <c r="M7" i="15"/>
  <c r="G7" i="15"/>
  <c r="F10" i="6"/>
  <c r="G10" i="6" s="1"/>
  <c r="L10" i="6"/>
  <c r="M10" i="6"/>
  <c r="N10" i="6" s="1"/>
  <c r="F11" i="6"/>
  <c r="G11" i="6" s="1"/>
  <c r="J11" i="6"/>
  <c r="L11" i="6"/>
  <c r="M11" i="6" s="1"/>
  <c r="F12" i="6"/>
  <c r="G12" i="6" s="1"/>
  <c r="L12" i="6"/>
  <c r="M12" i="6" s="1"/>
  <c r="N12" i="6" s="1"/>
  <c r="F13" i="6"/>
  <c r="G13" i="6" s="1"/>
  <c r="J13" i="6"/>
  <c r="N13" i="6" s="1"/>
  <c r="L13" i="6"/>
  <c r="M13" i="6" s="1"/>
  <c r="F14" i="6"/>
  <c r="G14" i="6" s="1"/>
  <c r="L14" i="6"/>
  <c r="M14" i="6" s="1"/>
  <c r="N14" i="6" s="1"/>
  <c r="F15" i="6"/>
  <c r="G15" i="6"/>
  <c r="H15" i="6" s="1"/>
  <c r="J15" i="6"/>
  <c r="L15" i="6"/>
  <c r="M15" i="6" s="1"/>
  <c r="N15" i="6" s="1"/>
  <c r="F16" i="6"/>
  <c r="G16" i="6"/>
  <c r="I16" i="6" s="1"/>
  <c r="L16" i="6"/>
  <c r="M16" i="6"/>
  <c r="N16" i="6" s="1"/>
  <c r="F17" i="6"/>
  <c r="G17" i="6"/>
  <c r="I17" i="6" s="1"/>
  <c r="H17" i="6"/>
  <c r="J17" i="6"/>
  <c r="L17" i="6"/>
  <c r="M17" i="6"/>
  <c r="N17" i="6" s="1"/>
  <c r="F18" i="6"/>
  <c r="G18" i="6" s="1"/>
  <c r="L18" i="6"/>
  <c r="M18" i="6"/>
  <c r="N18" i="6"/>
  <c r="F19" i="6"/>
  <c r="G19" i="6"/>
  <c r="H19" i="6"/>
  <c r="I19" i="6"/>
  <c r="J19" i="6"/>
  <c r="L19" i="6"/>
  <c r="M19" i="6" s="1"/>
  <c r="F20" i="6"/>
  <c r="G20" i="6" s="1"/>
  <c r="L20" i="6"/>
  <c r="M20" i="6"/>
  <c r="N20" i="6"/>
  <c r="F21" i="6"/>
  <c r="G21" i="6" s="1"/>
  <c r="J21" i="6"/>
  <c r="L21" i="6"/>
  <c r="M21" i="6" s="1"/>
  <c r="F22" i="6"/>
  <c r="G22" i="6" s="1"/>
  <c r="L22" i="6"/>
  <c r="M22" i="6" s="1"/>
  <c r="N22" i="6" s="1"/>
  <c r="F23" i="6"/>
  <c r="G23" i="6"/>
  <c r="H23" i="6" s="1"/>
  <c r="J23" i="6"/>
  <c r="L23" i="6"/>
  <c r="M23" i="6" s="1"/>
  <c r="N23" i="6" s="1"/>
  <c r="F24" i="6"/>
  <c r="G24" i="6"/>
  <c r="I24" i="6" s="1"/>
  <c r="L24" i="6"/>
  <c r="M24" i="6"/>
  <c r="N24" i="6" s="1"/>
  <c r="F25" i="6"/>
  <c r="G25" i="6"/>
  <c r="H25" i="6"/>
  <c r="I25" i="6"/>
  <c r="J25" i="6"/>
  <c r="L25" i="6"/>
  <c r="M25" i="6"/>
  <c r="N25" i="6" s="1"/>
  <c r="F26" i="6"/>
  <c r="G26" i="6" s="1"/>
  <c r="L26" i="6"/>
  <c r="M26" i="6"/>
  <c r="N26" i="6" s="1"/>
  <c r="L9" i="6"/>
  <c r="H9" i="6"/>
  <c r="I9" i="6"/>
  <c r="G9" i="6"/>
  <c r="F9" i="6"/>
  <c r="G8" i="6"/>
  <c r="N8" i="6"/>
  <c r="M8" i="6"/>
  <c r="L8" i="6"/>
  <c r="I8" i="6"/>
  <c r="H8" i="6"/>
  <c r="G7" i="9" l="1"/>
  <c r="H7" i="6"/>
  <c r="I7" i="6"/>
  <c r="H20" i="6"/>
  <c r="I20" i="6"/>
  <c r="N19" i="6"/>
  <c r="I14" i="6"/>
  <c r="H14" i="6"/>
  <c r="H26" i="6"/>
  <c r="I26" i="6"/>
  <c r="I22" i="6"/>
  <c r="H22" i="6"/>
  <c r="H13" i="6"/>
  <c r="I13" i="6"/>
  <c r="H18" i="6"/>
  <c r="I18" i="6"/>
  <c r="I11" i="6"/>
  <c r="H11" i="6"/>
  <c r="H10" i="6"/>
  <c r="I10" i="6"/>
  <c r="N21" i="6"/>
  <c r="H12" i="6"/>
  <c r="I12" i="6"/>
  <c r="H21" i="6"/>
  <c r="I21" i="6"/>
  <c r="N11" i="6"/>
  <c r="H24" i="6"/>
  <c r="H16" i="6"/>
  <c r="I23" i="6"/>
  <c r="I15" i="6"/>
  <c r="F10" i="15" l="1"/>
  <c r="G10" i="15"/>
  <c r="H10" i="15"/>
  <c r="M10" i="15" s="1"/>
  <c r="F11" i="15"/>
  <c r="G11" i="15"/>
  <c r="H11" i="15"/>
  <c r="M11" i="15" s="1"/>
  <c r="F12" i="15"/>
  <c r="G12" i="15"/>
  <c r="H12" i="15"/>
  <c r="M12" i="15" s="1"/>
  <c r="F13" i="15"/>
  <c r="G13" i="15"/>
  <c r="H13" i="15"/>
  <c r="M13" i="15" s="1"/>
  <c r="F14" i="15"/>
  <c r="G14" i="15"/>
  <c r="H14" i="15"/>
  <c r="M14" i="15" s="1"/>
  <c r="F15" i="15"/>
  <c r="G15" i="15"/>
  <c r="H15" i="15"/>
  <c r="M15" i="15"/>
  <c r="F16" i="15"/>
  <c r="G16" i="15"/>
  <c r="H16" i="15"/>
  <c r="M16" i="15" s="1"/>
  <c r="F17" i="15"/>
  <c r="G17" i="15"/>
  <c r="H17" i="15"/>
  <c r="M17" i="15" s="1"/>
  <c r="F18" i="15"/>
  <c r="G18" i="15"/>
  <c r="H18" i="15"/>
  <c r="M18" i="15"/>
  <c r="F19" i="15"/>
  <c r="G19" i="15"/>
  <c r="H19" i="15"/>
  <c r="M19" i="15" s="1"/>
  <c r="F20" i="15"/>
  <c r="G20" i="15"/>
  <c r="H20" i="15"/>
  <c r="M20" i="15" s="1"/>
  <c r="F21" i="15"/>
  <c r="G21" i="15"/>
  <c r="H21" i="15"/>
  <c r="M21" i="15" s="1"/>
  <c r="F22" i="15"/>
  <c r="G22" i="15"/>
  <c r="H22" i="15"/>
  <c r="M22" i="15" s="1"/>
  <c r="F23" i="15"/>
  <c r="G23" i="15"/>
  <c r="H23" i="15"/>
  <c r="M23" i="15" s="1"/>
  <c r="F24" i="15"/>
  <c r="G24" i="15"/>
  <c r="H24" i="15"/>
  <c r="M24" i="15"/>
  <c r="F25" i="15"/>
  <c r="G25" i="15"/>
  <c r="H25" i="15"/>
  <c r="M25" i="15" s="1"/>
  <c r="F26" i="15"/>
  <c r="G26" i="15"/>
  <c r="H26" i="15"/>
  <c r="M26" i="15" s="1"/>
  <c r="M9" i="15"/>
  <c r="H9" i="15"/>
  <c r="G9" i="15"/>
  <c r="F9" i="15"/>
  <c r="M8" i="15"/>
  <c r="H8" i="15"/>
  <c r="G8" i="15"/>
  <c r="F8" i="15"/>
  <c r="D9" i="5" l="1"/>
  <c r="E9" i="5" s="1"/>
  <c r="D10" i="5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6" i="4"/>
  <c r="C5" i="4"/>
  <c r="D5" i="1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D26" i="15"/>
  <c r="C26" i="15"/>
  <c r="D25" i="15"/>
  <c r="C25" i="15"/>
  <c r="D24" i="15"/>
  <c r="C24" i="15"/>
  <c r="D23" i="15"/>
  <c r="C23" i="15"/>
  <c r="D22" i="15"/>
  <c r="C22" i="15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7" i="15"/>
  <c r="C7" i="15"/>
  <c r="D6" i="15"/>
  <c r="C6" i="15"/>
  <c r="D5" i="15"/>
  <c r="C5" i="15"/>
  <c r="G9" i="5" l="1"/>
  <c r="F9" i="5"/>
  <c r="G10" i="5"/>
  <c r="F10" i="5"/>
  <c r="J4" i="8"/>
  <c r="C10" i="13" l="1"/>
  <c r="C9" i="13"/>
  <c r="C8" i="13"/>
  <c r="C7" i="13"/>
  <c r="C5" i="13"/>
  <c r="C61" i="15"/>
  <c r="E61" i="15" s="1"/>
  <c r="E60" i="15"/>
  <c r="E59" i="15"/>
  <c r="E62" i="15" l="1"/>
  <c r="A65" i="15"/>
  <c r="C13" i="13"/>
  <c r="C21" i="13"/>
  <c r="C14" i="13"/>
  <c r="C15" i="13"/>
  <c r="C23" i="13"/>
  <c r="G23" i="13" s="1"/>
  <c r="C16" i="13"/>
  <c r="C22" i="13"/>
  <c r="C24" i="13"/>
  <c r="C17" i="13"/>
  <c r="C25" i="13"/>
  <c r="C18" i="13"/>
  <c r="C26" i="13"/>
  <c r="C11" i="13"/>
  <c r="C19" i="13"/>
  <c r="C12" i="13"/>
  <c r="C20" i="13"/>
  <c r="F20" i="13" s="1"/>
  <c r="G31" i="15"/>
  <c r="E4" i="8"/>
  <c r="E13" i="8"/>
  <c r="E14" i="8"/>
  <c r="E15" i="8"/>
  <c r="E16" i="8"/>
  <c r="E17" i="8"/>
  <c r="E18" i="8"/>
  <c r="E19" i="8"/>
  <c r="E20" i="8"/>
  <c r="C4" i="8"/>
  <c r="E5" i="8" s="1"/>
  <c r="J21" i="8"/>
  <c r="K21" i="8" s="1"/>
  <c r="J22" i="8"/>
  <c r="K22" i="8" s="1"/>
  <c r="J23" i="8"/>
  <c r="K23" i="8" s="1"/>
  <c r="C67" i="15" l="1"/>
  <c r="N7" i="15" s="1"/>
  <c r="L45" i="15" s="1"/>
  <c r="G15" i="13"/>
  <c r="F15" i="13"/>
  <c r="G11" i="13"/>
  <c r="N26" i="15"/>
  <c r="E9" i="8"/>
  <c r="E8" i="8"/>
  <c r="E7" i="8"/>
  <c r="E21" i="8"/>
  <c r="E6" i="8"/>
  <c r="H7" i="8"/>
  <c r="H19" i="8"/>
  <c r="H21" i="8"/>
  <c r="L21" i="8" s="1"/>
  <c r="M21" i="8" s="1"/>
  <c r="H10" i="8"/>
  <c r="H22" i="8"/>
  <c r="L22" i="8" s="1"/>
  <c r="M22" i="8" s="1"/>
  <c r="H11" i="8"/>
  <c r="H5" i="8"/>
  <c r="H6" i="8"/>
  <c r="H8" i="8"/>
  <c r="H20" i="8"/>
  <c r="H23" i="8"/>
  <c r="L23" i="8" s="1"/>
  <c r="M23" i="8" s="1"/>
  <c r="H4" i="8"/>
  <c r="H14" i="8"/>
  <c r="H9" i="8"/>
  <c r="H12" i="8"/>
  <c r="H15" i="8"/>
  <c r="H17" i="8"/>
  <c r="H16" i="8"/>
  <c r="H13" i="8"/>
  <c r="H18" i="8"/>
  <c r="E12" i="8"/>
  <c r="E11" i="8"/>
  <c r="E23" i="8"/>
  <c r="E22" i="8"/>
  <c r="E10" i="8"/>
  <c r="N24" i="15"/>
  <c r="L62" i="15" s="1"/>
  <c r="N10" i="15"/>
  <c r="N18" i="15"/>
  <c r="N21" i="15"/>
  <c r="N11" i="15"/>
  <c r="N13" i="15"/>
  <c r="N9" i="15"/>
  <c r="L47" i="15" s="1"/>
  <c r="N47" i="15" s="1"/>
  <c r="N17" i="15"/>
  <c r="N8" i="15"/>
  <c r="L46" i="15" s="1"/>
  <c r="N46" i="15" s="1"/>
  <c r="N14" i="15"/>
  <c r="N16" i="15"/>
  <c r="N15" i="15"/>
  <c r="N22" i="15"/>
  <c r="N23" i="15"/>
  <c r="N12" i="15"/>
  <c r="N19" i="15"/>
  <c r="N20" i="15"/>
  <c r="N25" i="15" l="1"/>
  <c r="P7" i="9"/>
  <c r="C53" i="9" s="1"/>
  <c r="L64" i="15"/>
  <c r="N64" i="15" s="1"/>
  <c r="L57" i="15"/>
  <c r="N57" i="15" s="1"/>
  <c r="L53" i="15"/>
  <c r="N53" i="15" s="1"/>
  <c r="L55" i="15"/>
  <c r="N55" i="15" s="1"/>
  <c r="L59" i="15"/>
  <c r="N59" i="15" s="1"/>
  <c r="L50" i="15"/>
  <c r="N50" i="15" s="1"/>
  <c r="L54" i="15"/>
  <c r="N54" i="15" s="1"/>
  <c r="L56" i="15"/>
  <c r="N56" i="15" s="1"/>
  <c r="L61" i="15"/>
  <c r="N61" i="15" s="1"/>
  <c r="L52" i="15"/>
  <c r="N52" i="15" s="1"/>
  <c r="L51" i="15"/>
  <c r="N51" i="15" s="1"/>
  <c r="L48" i="15"/>
  <c r="L63" i="15"/>
  <c r="N63" i="15" s="1"/>
  <c r="L58" i="15"/>
  <c r="N58" i="15" s="1"/>
  <c r="L60" i="15"/>
  <c r="N60" i="15" s="1"/>
  <c r="L49" i="15"/>
  <c r="N49" i="15" s="1"/>
  <c r="N31" i="15"/>
  <c r="N62" i="15"/>
  <c r="G4" i="4"/>
  <c r="H4" i="4" s="1"/>
  <c r="L67" i="15" l="1"/>
  <c r="N48" i="15"/>
  <c r="N45" i="15"/>
  <c r="N67" i="15" s="1"/>
  <c r="C8" i="9" l="1"/>
  <c r="M8" i="9" s="1"/>
  <c r="O8" i="9" s="1"/>
  <c r="P8" i="9" s="1"/>
  <c r="C9" i="9"/>
  <c r="M9" i="9" s="1"/>
  <c r="O9" i="9" s="1"/>
  <c r="P9" i="9" s="1"/>
  <c r="C55" i="9" s="1"/>
  <c r="G55" i="9" s="1"/>
  <c r="C10" i="9"/>
  <c r="M10" i="9" s="1"/>
  <c r="O10" i="9" s="1"/>
  <c r="P10" i="9" s="1"/>
  <c r="C56" i="9" s="1"/>
  <c r="G56" i="9" s="1"/>
  <c r="C11" i="9"/>
  <c r="M11" i="9" s="1"/>
  <c r="O11" i="9" s="1"/>
  <c r="P11" i="9" s="1"/>
  <c r="C57" i="9" s="1"/>
  <c r="G57" i="9" s="1"/>
  <c r="C12" i="9"/>
  <c r="M12" i="9" s="1"/>
  <c r="O12" i="9" s="1"/>
  <c r="P12" i="9" s="1"/>
  <c r="C58" i="9" s="1"/>
  <c r="G58" i="9" s="1"/>
  <c r="C13" i="9"/>
  <c r="M13" i="9" s="1"/>
  <c r="O13" i="9" s="1"/>
  <c r="P13" i="9" s="1"/>
  <c r="C59" i="9" s="1"/>
  <c r="G59" i="9" s="1"/>
  <c r="C14" i="9"/>
  <c r="M14" i="9" s="1"/>
  <c r="O14" i="9" s="1"/>
  <c r="P14" i="9" s="1"/>
  <c r="C60" i="9" s="1"/>
  <c r="C15" i="9"/>
  <c r="M15" i="9" s="1"/>
  <c r="O15" i="9" s="1"/>
  <c r="P15" i="9" s="1"/>
  <c r="C61" i="9" s="1"/>
  <c r="G61" i="9" s="1"/>
  <c r="C16" i="9"/>
  <c r="M16" i="9" s="1"/>
  <c r="O16" i="9" s="1"/>
  <c r="P16" i="9" s="1"/>
  <c r="C62" i="9" s="1"/>
  <c r="G62" i="9" s="1"/>
  <c r="C17" i="9"/>
  <c r="M17" i="9" s="1"/>
  <c r="O17" i="9" s="1"/>
  <c r="P17" i="9" s="1"/>
  <c r="C63" i="9" s="1"/>
  <c r="G63" i="9" s="1"/>
  <c r="C18" i="9"/>
  <c r="M18" i="9" s="1"/>
  <c r="O18" i="9" s="1"/>
  <c r="P18" i="9" s="1"/>
  <c r="C64" i="9" s="1"/>
  <c r="G64" i="9" s="1"/>
  <c r="C19" i="9"/>
  <c r="M19" i="9" s="1"/>
  <c r="O19" i="9" s="1"/>
  <c r="P19" i="9" s="1"/>
  <c r="C65" i="9" s="1"/>
  <c r="G65" i="9" s="1"/>
  <c r="C20" i="9"/>
  <c r="M20" i="9" s="1"/>
  <c r="O20" i="9" s="1"/>
  <c r="P20" i="9" s="1"/>
  <c r="C66" i="9" s="1"/>
  <c r="G66" i="9" s="1"/>
  <c r="C21" i="9"/>
  <c r="M21" i="9" s="1"/>
  <c r="O21" i="9" s="1"/>
  <c r="P21" i="9" s="1"/>
  <c r="C67" i="9" s="1"/>
  <c r="G67" i="9" s="1"/>
  <c r="C22" i="9"/>
  <c r="M22" i="9" s="1"/>
  <c r="O22" i="9" s="1"/>
  <c r="P22" i="9" s="1"/>
  <c r="C68" i="9" s="1"/>
  <c r="G68" i="9" s="1"/>
  <c r="C23" i="9"/>
  <c r="M23" i="9" s="1"/>
  <c r="O23" i="9" s="1"/>
  <c r="P23" i="9" s="1"/>
  <c r="C69" i="9" s="1"/>
  <c r="G69" i="9" s="1"/>
  <c r="C24" i="9"/>
  <c r="M24" i="9" s="1"/>
  <c r="O24" i="9" s="1"/>
  <c r="P24" i="9" s="1"/>
  <c r="C70" i="9" s="1"/>
  <c r="G70" i="9" s="1"/>
  <c r="C25" i="9"/>
  <c r="M25" i="9" s="1"/>
  <c r="O25" i="9" s="1"/>
  <c r="P25" i="9" s="1"/>
  <c r="C71" i="9" s="1"/>
  <c r="G71" i="9" s="1"/>
  <c r="C26" i="9"/>
  <c r="M26" i="9" s="1"/>
  <c r="O26" i="9" s="1"/>
  <c r="P26" i="9" s="1"/>
  <c r="C72" i="9" s="1"/>
  <c r="G72" i="9" s="1"/>
  <c r="G53" i="9"/>
  <c r="C54" i="9" l="1"/>
  <c r="G54" i="9" s="1"/>
  <c r="E26" i="9"/>
  <c r="E21" i="9"/>
  <c r="E19" i="9"/>
  <c r="E18" i="9"/>
  <c r="E13" i="9"/>
  <c r="E11" i="9"/>
  <c r="E10" i="9"/>
  <c r="E20" i="9"/>
  <c r="E12" i="9"/>
  <c r="E24" i="9"/>
  <c r="E16" i="9"/>
  <c r="E8" i="9"/>
  <c r="G8" i="9" s="1"/>
  <c r="E25" i="9"/>
  <c r="E17" i="9"/>
  <c r="E9" i="9"/>
  <c r="E23" i="9"/>
  <c r="E15" i="9"/>
  <c r="E22" i="9"/>
  <c r="E14" i="9"/>
  <c r="C74" i="9"/>
  <c r="G60" i="9"/>
  <c r="M17" i="1"/>
  <c r="G74" i="9" l="1"/>
  <c r="E6" i="4"/>
  <c r="F6" i="4"/>
  <c r="G6" i="4"/>
  <c r="H6" i="4" s="1"/>
  <c r="E7" i="4"/>
  <c r="F7" i="4"/>
  <c r="G7" i="4"/>
  <c r="H7" i="4" s="1"/>
  <c r="D5" i="5"/>
  <c r="E5" i="5" s="1"/>
  <c r="D6" i="5"/>
  <c r="E6" i="5" s="1"/>
  <c r="D7" i="5"/>
  <c r="E7" i="5" s="1"/>
  <c r="D8" i="5"/>
  <c r="E8" i="5" s="1"/>
  <c r="D11" i="5"/>
  <c r="E11" i="5" s="1"/>
  <c r="D12" i="5"/>
  <c r="E12" i="5" s="1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19" i="5"/>
  <c r="E19" i="5" s="1"/>
  <c r="D20" i="5"/>
  <c r="E20" i="5" s="1"/>
  <c r="D21" i="5"/>
  <c r="E21" i="5" s="1"/>
  <c r="D22" i="5"/>
  <c r="E22" i="5" s="1"/>
  <c r="D23" i="5"/>
  <c r="E23" i="5" s="1"/>
  <c r="D24" i="5"/>
  <c r="E24" i="5" s="1"/>
  <c r="D25" i="5"/>
  <c r="E25" i="5" s="1"/>
  <c r="D26" i="5"/>
  <c r="E26" i="5" s="1"/>
  <c r="D4" i="5"/>
  <c r="E4" i="5" s="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5" i="11"/>
  <c r="E5" i="11"/>
  <c r="E6" i="11"/>
  <c r="E7" i="11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N17" i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D8" i="1"/>
  <c r="F8" i="1" s="1"/>
  <c r="P8" i="1" s="1"/>
  <c r="R8" i="1" s="1"/>
  <c r="D9" i="1"/>
  <c r="F9" i="1" s="1"/>
  <c r="P9" i="1" s="1"/>
  <c r="R9" i="1" s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I6" i="4" l="1"/>
  <c r="F19" i="5"/>
  <c r="G19" i="5"/>
  <c r="F7" i="5"/>
  <c r="G7" i="5"/>
  <c r="G18" i="5"/>
  <c r="F18" i="5"/>
  <c r="F6" i="5"/>
  <c r="G6" i="5"/>
  <c r="G17" i="5"/>
  <c r="F17" i="5"/>
  <c r="F5" i="5"/>
  <c r="G5" i="5"/>
  <c r="G16" i="5"/>
  <c r="F16" i="5"/>
  <c r="F4" i="5"/>
  <c r="G4" i="5"/>
  <c r="F26" i="5"/>
  <c r="G26" i="5"/>
  <c r="G14" i="5"/>
  <c r="F14" i="5"/>
  <c r="F15" i="5"/>
  <c r="G15" i="5"/>
  <c r="G25" i="5"/>
  <c r="F25" i="5"/>
  <c r="G13" i="5"/>
  <c r="F13" i="5"/>
  <c r="F20" i="5"/>
  <c r="G20" i="5"/>
  <c r="G23" i="5"/>
  <c r="F23" i="5"/>
  <c r="G11" i="5"/>
  <c r="F11" i="5"/>
  <c r="G8" i="5"/>
  <c r="F8" i="5"/>
  <c r="G12" i="5"/>
  <c r="F12" i="5"/>
  <c r="F22" i="5"/>
  <c r="G22" i="5"/>
  <c r="G24" i="5"/>
  <c r="F24" i="5"/>
  <c r="F21" i="5"/>
  <c r="G21" i="5"/>
  <c r="K8" i="1"/>
  <c r="O8" i="1" s="1"/>
  <c r="D63" i="1" s="1"/>
  <c r="K63" i="1" s="1"/>
  <c r="I7" i="4"/>
  <c r="G9" i="1"/>
  <c r="X9" i="1" s="1"/>
  <c r="Y9" i="1" s="1"/>
  <c r="G8" i="1"/>
  <c r="H8" i="1" s="1"/>
  <c r="K9" i="1"/>
  <c r="O9" i="1" s="1"/>
  <c r="D64" i="1" s="1"/>
  <c r="K64" i="1" s="1"/>
  <c r="Q8" i="1"/>
  <c r="Q9" i="1"/>
  <c r="D16" i="1"/>
  <c r="K16" i="1" s="1"/>
  <c r="D17" i="1"/>
  <c r="K17" i="1" s="1"/>
  <c r="O17" i="1" s="1"/>
  <c r="D72" i="1" s="1"/>
  <c r="K72" i="1" s="1"/>
  <c r="G5" i="13"/>
  <c r="G4" i="13"/>
  <c r="F5" i="13"/>
  <c r="F4" i="13"/>
  <c r="E28" i="11"/>
  <c r="E29" i="11"/>
  <c r="S9" i="1" l="1"/>
  <c r="C64" i="1" s="1"/>
  <c r="J64" i="1" s="1"/>
  <c r="S8" i="1"/>
  <c r="C63" i="1" s="1"/>
  <c r="J63" i="1" s="1"/>
  <c r="I8" i="1"/>
  <c r="I63" i="1" s="1"/>
  <c r="I9" i="1"/>
  <c r="I64" i="1" s="1"/>
  <c r="T8" i="1"/>
  <c r="G64" i="1"/>
  <c r="N64" i="1" s="1"/>
  <c r="V9" i="1"/>
  <c r="W9" i="1" s="1"/>
  <c r="H9" i="1"/>
  <c r="T9" i="1"/>
  <c r="U9" i="1" s="1"/>
  <c r="X8" i="1"/>
  <c r="Y8" i="1" s="1"/>
  <c r="V8" i="1"/>
  <c r="W8" i="1" s="1"/>
  <c r="G6" i="13"/>
  <c r="F6" i="13"/>
  <c r="E13" i="11"/>
  <c r="U8" i="1" l="1"/>
  <c r="E63" i="1" s="1"/>
  <c r="L63" i="1" s="1"/>
  <c r="J9" i="1"/>
  <c r="B64" i="1"/>
  <c r="J8" i="1"/>
  <c r="B63" i="1"/>
  <c r="G63" i="1"/>
  <c r="N63" i="1" s="1"/>
  <c r="E64" i="1"/>
  <c r="L64" i="1" s="1"/>
  <c r="F64" i="1"/>
  <c r="M64" i="1" s="1"/>
  <c r="F63" i="1"/>
  <c r="M63" i="1" s="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14" i="11"/>
  <c r="E10" i="11"/>
  <c r="E11" i="11"/>
  <c r="E12" i="11"/>
  <c r="E8" i="11"/>
  <c r="E9" i="11"/>
  <c r="D30" i="11" l="1"/>
  <c r="K15" i="8"/>
  <c r="L15" i="8" s="1"/>
  <c r="M15" i="8" s="1"/>
  <c r="K20" i="8"/>
  <c r="L20" i="8" s="1"/>
  <c r="M20" i="8" s="1"/>
  <c r="K19" i="8"/>
  <c r="L19" i="8" s="1"/>
  <c r="M19" i="8" s="1"/>
  <c r="K18" i="8"/>
  <c r="L18" i="8" s="1"/>
  <c r="M18" i="8" s="1"/>
  <c r="K17" i="8"/>
  <c r="L17" i="8" s="1"/>
  <c r="M17" i="8" s="1"/>
  <c r="K16" i="8"/>
  <c r="L16" i="8" s="1"/>
  <c r="M16" i="8" s="1"/>
  <c r="K14" i="8"/>
  <c r="L14" i="8" s="1"/>
  <c r="M14" i="8" s="1"/>
  <c r="K13" i="8"/>
  <c r="L13" i="8" s="1"/>
  <c r="M13" i="8" s="1"/>
  <c r="K12" i="8"/>
  <c r="L12" i="8" s="1"/>
  <c r="M12" i="8" s="1"/>
  <c r="K11" i="8"/>
  <c r="L11" i="8" s="1"/>
  <c r="M11" i="8" s="1"/>
  <c r="K10" i="8"/>
  <c r="L10" i="8" s="1"/>
  <c r="M10" i="8" s="1"/>
  <c r="K9" i="8"/>
  <c r="L9" i="8" s="1"/>
  <c r="M9" i="8" s="1"/>
  <c r="K8" i="8"/>
  <c r="L8" i="8" s="1"/>
  <c r="M8" i="8" s="1"/>
  <c r="K7" i="8"/>
  <c r="L7" i="8" s="1"/>
  <c r="M7" i="8" s="1"/>
  <c r="K6" i="8"/>
  <c r="L6" i="8" s="1"/>
  <c r="M6" i="8" s="1"/>
  <c r="K5" i="8"/>
  <c r="L5" i="8" s="1"/>
  <c r="M5" i="8" s="1"/>
  <c r="K4" i="8"/>
  <c r="L4" i="8" s="1"/>
  <c r="M4" i="8" l="1"/>
  <c r="M24" i="8" s="1"/>
  <c r="L24" i="8"/>
  <c r="F10" i="13"/>
  <c r="G10" i="13"/>
  <c r="K26" i="9"/>
  <c r="K25" i="9"/>
  <c r="K24" i="9"/>
  <c r="L24" i="9" s="1"/>
  <c r="B70" i="9" s="1"/>
  <c r="F70" i="9" s="1"/>
  <c r="K23" i="9"/>
  <c r="L23" i="9" s="1"/>
  <c r="B69" i="9" s="1"/>
  <c r="F69" i="9" s="1"/>
  <c r="K22" i="9"/>
  <c r="L22" i="9" s="1"/>
  <c r="B68" i="9" s="1"/>
  <c r="F68" i="9" s="1"/>
  <c r="K21" i="9"/>
  <c r="L21" i="9" s="1"/>
  <c r="B67" i="9" s="1"/>
  <c r="F67" i="9" s="1"/>
  <c r="K20" i="9"/>
  <c r="L20" i="9" s="1"/>
  <c r="B66" i="9" s="1"/>
  <c r="F66" i="9" s="1"/>
  <c r="K19" i="9"/>
  <c r="L19" i="9" s="1"/>
  <c r="B65" i="9" s="1"/>
  <c r="F65" i="9" s="1"/>
  <c r="K18" i="9"/>
  <c r="L18" i="9" s="1"/>
  <c r="B64" i="9" s="1"/>
  <c r="F64" i="9" s="1"/>
  <c r="K17" i="9"/>
  <c r="L17" i="9" s="1"/>
  <c r="B63" i="9" s="1"/>
  <c r="F63" i="9" s="1"/>
  <c r="K16" i="9"/>
  <c r="L16" i="9" s="1"/>
  <c r="B62" i="9" s="1"/>
  <c r="F62" i="9" s="1"/>
  <c r="K15" i="9"/>
  <c r="L15" i="9" s="1"/>
  <c r="B61" i="9" s="1"/>
  <c r="F61" i="9" s="1"/>
  <c r="K14" i="9"/>
  <c r="L14" i="9" s="1"/>
  <c r="B60" i="9" s="1"/>
  <c r="F60" i="9" s="1"/>
  <c r="K13" i="9"/>
  <c r="L13" i="9" s="1"/>
  <c r="B59" i="9" s="1"/>
  <c r="F59" i="9" s="1"/>
  <c r="K12" i="9"/>
  <c r="L12" i="9" s="1"/>
  <c r="B58" i="9" s="1"/>
  <c r="F58" i="9" s="1"/>
  <c r="K11" i="9"/>
  <c r="L11" i="9" s="1"/>
  <c r="B57" i="9" s="1"/>
  <c r="F57" i="9" s="1"/>
  <c r="K10" i="9"/>
  <c r="L10" i="9" s="1"/>
  <c r="B56" i="9" s="1"/>
  <c r="F56" i="9" s="1"/>
  <c r="K9" i="9"/>
  <c r="L9" i="9" s="1"/>
  <c r="B55" i="9" s="1"/>
  <c r="F55" i="9" s="1"/>
  <c r="K8" i="9"/>
  <c r="L8" i="9" s="1"/>
  <c r="F54" i="9" s="1"/>
  <c r="H18" i="2"/>
  <c r="G18" i="2"/>
  <c r="H17" i="2"/>
  <c r="G17" i="2"/>
  <c r="H16" i="2"/>
  <c r="G16" i="2"/>
  <c r="H15" i="2"/>
  <c r="G15" i="2"/>
  <c r="F8" i="4"/>
  <c r="F5" i="4"/>
  <c r="F4" i="4"/>
  <c r="E8" i="4"/>
  <c r="E5" i="4"/>
  <c r="E4" i="4"/>
  <c r="G5" i="4"/>
  <c r="H5" i="4" s="1"/>
  <c r="M9" i="6"/>
  <c r="J9" i="6"/>
  <c r="F52" i="6" l="1"/>
  <c r="F10" i="9"/>
  <c r="G10" i="9"/>
  <c r="D56" i="9" s="1"/>
  <c r="H56" i="9" s="1"/>
  <c r="F9" i="9"/>
  <c r="G9" i="9"/>
  <c r="D55" i="9" s="1"/>
  <c r="H55" i="9" s="1"/>
  <c r="G23" i="9"/>
  <c r="D69" i="9" s="1"/>
  <c r="H69" i="9" s="1"/>
  <c r="F23" i="9"/>
  <c r="G22" i="9"/>
  <c r="D68" i="9" s="1"/>
  <c r="H68" i="9" s="1"/>
  <c r="F22" i="9"/>
  <c r="G21" i="9"/>
  <c r="D67" i="9" s="1"/>
  <c r="H67" i="9" s="1"/>
  <c r="F21" i="9"/>
  <c r="F13" i="9"/>
  <c r="G13" i="9"/>
  <c r="D59" i="9" s="1"/>
  <c r="H59" i="9" s="1"/>
  <c r="G26" i="9"/>
  <c r="D72" i="9" s="1"/>
  <c r="H72" i="9" s="1"/>
  <c r="F26" i="9"/>
  <c r="G25" i="9"/>
  <c r="D71" i="9" s="1"/>
  <c r="H71" i="9" s="1"/>
  <c r="F25" i="9"/>
  <c r="F24" i="9"/>
  <c r="G24" i="9"/>
  <c r="D70" i="9" s="1"/>
  <c r="H70" i="9" s="1"/>
  <c r="G20" i="9"/>
  <c r="D66" i="9" s="1"/>
  <c r="H66" i="9" s="1"/>
  <c r="F20" i="9"/>
  <c r="F12" i="9"/>
  <c r="G12" i="9"/>
  <c r="D58" i="9" s="1"/>
  <c r="H58" i="9" s="1"/>
  <c r="F18" i="9"/>
  <c r="G18" i="9"/>
  <c r="D64" i="9" s="1"/>
  <c r="H64" i="9" s="1"/>
  <c r="G17" i="9"/>
  <c r="D63" i="9" s="1"/>
  <c r="H63" i="9" s="1"/>
  <c r="F17" i="9"/>
  <c r="G16" i="9"/>
  <c r="D62" i="9" s="1"/>
  <c r="H62" i="9" s="1"/>
  <c r="F16" i="9"/>
  <c r="G15" i="9"/>
  <c r="D61" i="9" s="1"/>
  <c r="H61" i="9" s="1"/>
  <c r="F15" i="9"/>
  <c r="G14" i="9"/>
  <c r="D60" i="9" s="1"/>
  <c r="H60" i="9" s="1"/>
  <c r="F14" i="9"/>
  <c r="F8" i="9"/>
  <c r="H54" i="9"/>
  <c r="F19" i="9"/>
  <c r="G19" i="9"/>
  <c r="D65" i="9" s="1"/>
  <c r="H65" i="9" s="1"/>
  <c r="F11" i="9"/>
  <c r="G11" i="9"/>
  <c r="D57" i="9" s="1"/>
  <c r="H57" i="9" s="1"/>
  <c r="P28" i="9"/>
  <c r="L26" i="9"/>
  <c r="B72" i="9" s="1"/>
  <c r="F72" i="9" s="1"/>
  <c r="N9" i="6"/>
  <c r="C54" i="6" s="1"/>
  <c r="F54" i="6" s="1"/>
  <c r="C53" i="6"/>
  <c r="F53" i="6" s="1"/>
  <c r="C5" i="1"/>
  <c r="C6" i="1"/>
  <c r="D6" i="1"/>
  <c r="H53" i="9" l="1"/>
  <c r="H74" i="9" s="1"/>
  <c r="D74" i="9"/>
  <c r="F12" i="13"/>
  <c r="G12" i="13"/>
  <c r="L25" i="9"/>
  <c r="B71" i="9" s="1"/>
  <c r="F71" i="9" s="1"/>
  <c r="H28" i="9"/>
  <c r="C55" i="6"/>
  <c r="F55" i="6" s="1"/>
  <c r="D26" i="1"/>
  <c r="K26" i="1" s="1"/>
  <c r="B74" i="9" l="1"/>
  <c r="F74" i="9"/>
  <c r="F13" i="13"/>
  <c r="G13" i="13"/>
  <c r="L28" i="9"/>
  <c r="F28" i="9"/>
  <c r="C56" i="6"/>
  <c r="F26" i="1"/>
  <c r="P26" i="1" s="1"/>
  <c r="R26" i="1" s="1"/>
  <c r="G26" i="1"/>
  <c r="G14" i="13" l="1"/>
  <c r="F14" i="13"/>
  <c r="F56" i="6"/>
  <c r="V26" i="1"/>
  <c r="W26" i="1" s="1"/>
  <c r="X26" i="1"/>
  <c r="Y26" i="1" s="1"/>
  <c r="H26" i="1"/>
  <c r="I26" i="1"/>
  <c r="I81" i="1" s="1"/>
  <c r="T26" i="1"/>
  <c r="U26" i="1" s="1"/>
  <c r="G28" i="9"/>
  <c r="C57" i="6"/>
  <c r="F57" i="6" s="1"/>
  <c r="O26" i="1"/>
  <c r="D81" i="1" s="1"/>
  <c r="K81" i="1" s="1"/>
  <c r="F8" i="2"/>
  <c r="D9" i="2"/>
  <c r="D10" i="2" s="1"/>
  <c r="D11" i="2" s="1"/>
  <c r="D12" i="2" s="1"/>
  <c r="D9" i="4"/>
  <c r="I4" i="4"/>
  <c r="B70" i="6"/>
  <c r="E70" i="6" s="1"/>
  <c r="B69" i="6"/>
  <c r="E69" i="6" s="1"/>
  <c r="B68" i="6"/>
  <c r="E68" i="6" s="1"/>
  <c r="B67" i="6"/>
  <c r="E67" i="6" s="1"/>
  <c r="B66" i="6"/>
  <c r="E66" i="6" s="1"/>
  <c r="B65" i="6"/>
  <c r="E65" i="6" s="1"/>
  <c r="B64" i="6"/>
  <c r="E64" i="6" s="1"/>
  <c r="B63" i="6"/>
  <c r="E63" i="6" s="1"/>
  <c r="B60" i="6"/>
  <c r="E60" i="6" s="1"/>
  <c r="B59" i="6"/>
  <c r="E59" i="6" s="1"/>
  <c r="B58" i="6"/>
  <c r="E58" i="6" s="1"/>
  <c r="B57" i="6"/>
  <c r="E57" i="6" s="1"/>
  <c r="B56" i="6"/>
  <c r="E56" i="6" s="1"/>
  <c r="B55" i="6"/>
  <c r="E55" i="6" s="1"/>
  <c r="B54" i="6"/>
  <c r="E54" i="6" s="1"/>
  <c r="B53" i="6"/>
  <c r="E53" i="6" s="1"/>
  <c r="C7" i="1"/>
  <c r="B61" i="6" l="1"/>
  <c r="E61" i="6" s="1"/>
  <c r="B62" i="6"/>
  <c r="E62" i="6" s="1"/>
  <c r="Q26" i="1"/>
  <c r="S26" i="1" s="1"/>
  <c r="C81" i="1" s="1"/>
  <c r="J81" i="1" s="1"/>
  <c r="J26" i="1"/>
  <c r="B81" i="1"/>
  <c r="E81" i="1"/>
  <c r="L81" i="1" s="1"/>
  <c r="G81" i="1"/>
  <c r="N81" i="1" s="1"/>
  <c r="F81" i="1"/>
  <c r="M81" i="1" s="1"/>
  <c r="F9" i="4"/>
  <c r="E9" i="4"/>
  <c r="H8" i="2"/>
  <c r="G8" i="2"/>
  <c r="E24" i="8"/>
  <c r="C58" i="6"/>
  <c r="D10" i="4"/>
  <c r="G10" i="4" s="1"/>
  <c r="I10" i="4" s="1"/>
  <c r="G8" i="4"/>
  <c r="G9" i="4"/>
  <c r="I9" i="4" s="1"/>
  <c r="D13" i="2"/>
  <c r="F13" i="2" s="1"/>
  <c r="I5" i="4"/>
  <c r="E52" i="6" l="1"/>
  <c r="F16" i="13"/>
  <c r="G16" i="13"/>
  <c r="B71" i="6"/>
  <c r="I30" i="6"/>
  <c r="F58" i="6"/>
  <c r="H10" i="4"/>
  <c r="H13" i="2"/>
  <c r="G13" i="2"/>
  <c r="E10" i="4"/>
  <c r="F10" i="4"/>
  <c r="G24" i="8"/>
  <c r="F24" i="8"/>
  <c r="H9" i="4"/>
  <c r="C59" i="6"/>
  <c r="F59" i="6" s="1"/>
  <c r="I8" i="4"/>
  <c r="H8" i="4"/>
  <c r="D11" i="4"/>
  <c r="D14" i="2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G30" i="6"/>
  <c r="F17" i="13" l="1"/>
  <c r="G17" i="13"/>
  <c r="E71" i="6"/>
  <c r="E73" i="6" s="1"/>
  <c r="B73" i="6"/>
  <c r="F11" i="4"/>
  <c r="D12" i="4"/>
  <c r="E11" i="4"/>
  <c r="C60" i="6"/>
  <c r="F60" i="6" s="1"/>
  <c r="H30" i="6"/>
  <c r="G11" i="4"/>
  <c r="F18" i="13" l="1"/>
  <c r="G18" i="13"/>
  <c r="E12" i="4"/>
  <c r="F12" i="4"/>
  <c r="C61" i="6"/>
  <c r="F61" i="6" s="1"/>
  <c r="H11" i="4"/>
  <c r="I11" i="4"/>
  <c r="D13" i="4"/>
  <c r="G12" i="4"/>
  <c r="G19" i="13" l="1"/>
  <c r="F19" i="13"/>
  <c r="F13" i="4"/>
  <c r="E13" i="4"/>
  <c r="C62" i="6"/>
  <c r="F62" i="6" s="1"/>
  <c r="I12" i="4"/>
  <c r="H12" i="4"/>
  <c r="D14" i="4"/>
  <c r="G13" i="4"/>
  <c r="G20" i="13" l="1"/>
  <c r="E14" i="4"/>
  <c r="F14" i="4"/>
  <c r="C63" i="6"/>
  <c r="F63" i="6" s="1"/>
  <c r="H13" i="4"/>
  <c r="I13" i="4"/>
  <c r="D15" i="4"/>
  <c r="G14" i="4"/>
  <c r="H14" i="4" s="1"/>
  <c r="G21" i="13" l="1"/>
  <c r="F21" i="13"/>
  <c r="F15" i="4"/>
  <c r="E15" i="4"/>
  <c r="C64" i="6"/>
  <c r="F64" i="6" s="1"/>
  <c r="I14" i="4"/>
  <c r="G15" i="4"/>
  <c r="D16" i="4"/>
  <c r="G22" i="13" l="1"/>
  <c r="F22" i="13"/>
  <c r="E16" i="4"/>
  <c r="F16" i="4"/>
  <c r="C65" i="6"/>
  <c r="F65" i="6" s="1"/>
  <c r="D17" i="4"/>
  <c r="F17" i="4" s="1"/>
  <c r="G16" i="4"/>
  <c r="H16" i="4" s="1"/>
  <c r="I15" i="4"/>
  <c r="H15" i="4"/>
  <c r="I16" i="4" l="1"/>
  <c r="F23" i="13"/>
  <c r="E17" i="4"/>
  <c r="C66" i="6"/>
  <c r="F66" i="6" s="1"/>
  <c r="D18" i="4"/>
  <c r="G17" i="4"/>
  <c r="F24" i="13" l="1"/>
  <c r="G24" i="13"/>
  <c r="E18" i="4"/>
  <c r="F18" i="4"/>
  <c r="C67" i="6"/>
  <c r="F67" i="6" s="1"/>
  <c r="I17" i="4"/>
  <c r="H17" i="4"/>
  <c r="D19" i="4"/>
  <c r="G19" i="4" s="1"/>
  <c r="G18" i="4"/>
  <c r="G25" i="13" l="1"/>
  <c r="F25" i="13"/>
  <c r="F19" i="4"/>
  <c r="E19" i="4"/>
  <c r="C68" i="6"/>
  <c r="F68" i="6" s="1"/>
  <c r="I18" i="4"/>
  <c r="H18" i="4"/>
  <c r="D20" i="4"/>
  <c r="F26" i="13" l="1"/>
  <c r="G26" i="13"/>
  <c r="E20" i="4"/>
  <c r="F20" i="4"/>
  <c r="C69" i="6"/>
  <c r="F69" i="6" s="1"/>
  <c r="I19" i="4"/>
  <c r="H19" i="4"/>
  <c r="D21" i="4"/>
  <c r="G20" i="4"/>
  <c r="G29" i="13" l="1"/>
  <c r="F21" i="4"/>
  <c r="E21" i="4"/>
  <c r="C70" i="6"/>
  <c r="F70" i="6" s="1"/>
  <c r="I20" i="4"/>
  <c r="H20" i="4"/>
  <c r="D22" i="4"/>
  <c r="G21" i="4"/>
  <c r="F29" i="13" l="1"/>
  <c r="E22" i="4"/>
  <c r="F22" i="4"/>
  <c r="C71" i="6"/>
  <c r="J30" i="6"/>
  <c r="I21" i="4"/>
  <c r="H21" i="4"/>
  <c r="D23" i="4"/>
  <c r="G22" i="4"/>
  <c r="F71" i="6" l="1"/>
  <c r="F73" i="6" s="1"/>
  <c r="C73" i="6"/>
  <c r="F23" i="4"/>
  <c r="E23" i="4"/>
  <c r="N30" i="6"/>
  <c r="I22" i="4"/>
  <c r="H22" i="4"/>
  <c r="D24" i="4"/>
  <c r="G23" i="4"/>
  <c r="F9" i="2"/>
  <c r="F10" i="2"/>
  <c r="F11" i="2"/>
  <c r="F12" i="2"/>
  <c r="F14" i="2"/>
  <c r="F19" i="2"/>
  <c r="F20" i="2"/>
  <c r="F21" i="2"/>
  <c r="F22" i="2"/>
  <c r="F23" i="2"/>
  <c r="F24" i="2"/>
  <c r="F25" i="2"/>
  <c r="F26" i="2"/>
  <c r="F27" i="2"/>
  <c r="F29" i="2" l="1"/>
  <c r="H19" i="2"/>
  <c r="G19" i="2"/>
  <c r="H10" i="2"/>
  <c r="G10" i="2"/>
  <c r="E24" i="4"/>
  <c r="F24" i="4"/>
  <c r="H27" i="2"/>
  <c r="G27" i="2"/>
  <c r="H23" i="2"/>
  <c r="G23" i="2"/>
  <c r="H21" i="2"/>
  <c r="G21" i="2"/>
  <c r="H12" i="2"/>
  <c r="G12" i="2"/>
  <c r="H26" i="2"/>
  <c r="G26" i="2"/>
  <c r="H24" i="2"/>
  <c r="G24" i="2"/>
  <c r="H22" i="2"/>
  <c r="G22" i="2"/>
  <c r="H20" i="2"/>
  <c r="G20" i="2"/>
  <c r="H14" i="2"/>
  <c r="G14" i="2"/>
  <c r="H11" i="2"/>
  <c r="G11" i="2"/>
  <c r="H9" i="2"/>
  <c r="G9" i="2"/>
  <c r="H25" i="2"/>
  <c r="G25" i="2"/>
  <c r="I23" i="4"/>
  <c r="H23" i="4"/>
  <c r="D25" i="4"/>
  <c r="G24" i="4"/>
  <c r="G29" i="2" l="1"/>
  <c r="H29" i="2"/>
  <c r="F25" i="4"/>
  <c r="E25" i="4"/>
  <c r="I24" i="4"/>
  <c r="H24" i="4"/>
  <c r="D26" i="4"/>
  <c r="G25" i="4"/>
  <c r="D7" i="1"/>
  <c r="D10" i="1"/>
  <c r="K10" i="1" s="1"/>
  <c r="D11" i="1"/>
  <c r="K11" i="1" s="1"/>
  <c r="D12" i="1"/>
  <c r="D13" i="1"/>
  <c r="F13" i="1" s="1"/>
  <c r="P13" i="1" s="1"/>
  <c r="R13" i="1" s="1"/>
  <c r="D14" i="1"/>
  <c r="K14" i="1" s="1"/>
  <c r="D15" i="1"/>
  <c r="K15" i="1" s="1"/>
  <c r="G16" i="1"/>
  <c r="D18" i="1"/>
  <c r="K18" i="1" s="1"/>
  <c r="D19" i="1"/>
  <c r="K19" i="1" s="1"/>
  <c r="D20" i="1"/>
  <c r="D21" i="1"/>
  <c r="D22" i="1"/>
  <c r="K22" i="1" s="1"/>
  <c r="D23" i="1"/>
  <c r="K23" i="1" s="1"/>
  <c r="D24" i="1"/>
  <c r="D25" i="1"/>
  <c r="X16" i="1" l="1"/>
  <c r="Y16" i="1" s="1"/>
  <c r="V16" i="1"/>
  <c r="W16" i="1" s="1"/>
  <c r="T16" i="1"/>
  <c r="U16" i="1" s="1"/>
  <c r="I16" i="1"/>
  <c r="K21" i="1"/>
  <c r="O21" i="1" s="1"/>
  <c r="D76" i="1" s="1"/>
  <c r="K76" i="1" s="1"/>
  <c r="G12" i="1"/>
  <c r="K12" i="1"/>
  <c r="G24" i="1"/>
  <c r="K24" i="1"/>
  <c r="K13" i="1"/>
  <c r="O13" i="1" s="1"/>
  <c r="D68" i="1" s="1"/>
  <c r="K68" i="1" s="1"/>
  <c r="G20" i="1"/>
  <c r="K20" i="1"/>
  <c r="K25" i="1"/>
  <c r="O25" i="1" s="1"/>
  <c r="D80" i="1" s="1"/>
  <c r="K80" i="1" s="1"/>
  <c r="K7" i="1"/>
  <c r="O7" i="1" s="1"/>
  <c r="D62" i="1" s="1"/>
  <c r="K62" i="1" s="1"/>
  <c r="E26" i="4"/>
  <c r="F26" i="4"/>
  <c r="O22" i="1"/>
  <c r="D77" i="1" s="1"/>
  <c r="K77" i="1" s="1"/>
  <c r="G22" i="1"/>
  <c r="V22" i="1" s="1"/>
  <c r="O18" i="1"/>
  <c r="D73" i="1" s="1"/>
  <c r="K73" i="1" s="1"/>
  <c r="G18" i="1"/>
  <c r="O14" i="1"/>
  <c r="D69" i="1" s="1"/>
  <c r="K69" i="1" s="1"/>
  <c r="G14" i="1"/>
  <c r="O10" i="1"/>
  <c r="D65" i="1" s="1"/>
  <c r="K65" i="1" s="1"/>
  <c r="G10" i="1"/>
  <c r="G26" i="4"/>
  <c r="G25" i="1"/>
  <c r="G21" i="1"/>
  <c r="G17" i="1"/>
  <c r="G13" i="1"/>
  <c r="G7" i="1"/>
  <c r="I25" i="4"/>
  <c r="H25" i="4"/>
  <c r="G19" i="1"/>
  <c r="H16" i="1"/>
  <c r="G11" i="1"/>
  <c r="F25" i="1"/>
  <c r="P25" i="1" s="1"/>
  <c r="R25" i="1" s="1"/>
  <c r="F23" i="1"/>
  <c r="P23" i="1" s="1"/>
  <c r="R23" i="1" s="1"/>
  <c r="F21" i="1"/>
  <c r="P21" i="1" s="1"/>
  <c r="R21" i="1" s="1"/>
  <c r="F19" i="1"/>
  <c r="P19" i="1" s="1"/>
  <c r="R19" i="1" s="1"/>
  <c r="F17" i="1"/>
  <c r="P17" i="1" s="1"/>
  <c r="R17" i="1" s="1"/>
  <c r="F15" i="1"/>
  <c r="P15" i="1" s="1"/>
  <c r="R15" i="1" s="1"/>
  <c r="F11" i="1"/>
  <c r="P11" i="1" s="1"/>
  <c r="R11" i="1" s="1"/>
  <c r="F7" i="1"/>
  <c r="P7" i="1" s="1"/>
  <c r="R7" i="1" s="1"/>
  <c r="G23" i="1"/>
  <c r="G15" i="1"/>
  <c r="F24" i="1"/>
  <c r="P24" i="1" s="1"/>
  <c r="R24" i="1" s="1"/>
  <c r="F22" i="1"/>
  <c r="P22" i="1" s="1"/>
  <c r="R22" i="1" s="1"/>
  <c r="F20" i="1"/>
  <c r="P20" i="1" s="1"/>
  <c r="R20" i="1" s="1"/>
  <c r="F18" i="1"/>
  <c r="P18" i="1" s="1"/>
  <c r="R18" i="1" s="1"/>
  <c r="F16" i="1"/>
  <c r="P16" i="1" s="1"/>
  <c r="R16" i="1" s="1"/>
  <c r="F14" i="1"/>
  <c r="P14" i="1" s="1"/>
  <c r="R14" i="1" s="1"/>
  <c r="F12" i="1"/>
  <c r="P12" i="1" s="1"/>
  <c r="R12" i="1" s="1"/>
  <c r="F10" i="1"/>
  <c r="P10" i="1" s="1"/>
  <c r="R10" i="1" s="1"/>
  <c r="F77" i="1" l="1"/>
  <c r="M77" i="1" s="1"/>
  <c r="W22" i="1"/>
  <c r="B71" i="1"/>
  <c r="I71" i="1"/>
  <c r="Q23" i="1"/>
  <c r="S23" i="1" s="1"/>
  <c r="E71" i="1"/>
  <c r="L71" i="1" s="1"/>
  <c r="F71" i="1"/>
  <c r="M71" i="1" s="1"/>
  <c r="G71" i="1"/>
  <c r="N71" i="1" s="1"/>
  <c r="X11" i="1"/>
  <c r="Y11" i="1" s="1"/>
  <c r="V11" i="1"/>
  <c r="W11" i="1" s="1"/>
  <c r="X7" i="1"/>
  <c r="Y7" i="1" s="1"/>
  <c r="V7" i="1"/>
  <c r="W7" i="1" s="1"/>
  <c r="H24" i="1"/>
  <c r="V24" i="1"/>
  <c r="W24" i="1" s="1"/>
  <c r="X24" i="1"/>
  <c r="Y24" i="1" s="1"/>
  <c r="V13" i="1"/>
  <c r="W13" i="1" s="1"/>
  <c r="X13" i="1"/>
  <c r="Y13" i="1" s="1"/>
  <c r="V10" i="1"/>
  <c r="W10" i="1" s="1"/>
  <c r="X10" i="1"/>
  <c r="Y10" i="1" s="1"/>
  <c r="V19" i="1"/>
  <c r="W19" i="1" s="1"/>
  <c r="X19" i="1"/>
  <c r="Y19" i="1" s="1"/>
  <c r="X17" i="1"/>
  <c r="Y17" i="1" s="1"/>
  <c r="V17" i="1"/>
  <c r="W17" i="1" s="1"/>
  <c r="V12" i="1"/>
  <c r="W12" i="1" s="1"/>
  <c r="X12" i="1"/>
  <c r="Y12" i="1" s="1"/>
  <c r="X15" i="1"/>
  <c r="Y15" i="1" s="1"/>
  <c r="V15" i="1"/>
  <c r="W15" i="1" s="1"/>
  <c r="V21" i="1"/>
  <c r="W21" i="1" s="1"/>
  <c r="X21" i="1"/>
  <c r="Y21" i="1" s="1"/>
  <c r="V14" i="1"/>
  <c r="W14" i="1" s="1"/>
  <c r="X14" i="1"/>
  <c r="Y14" i="1" s="1"/>
  <c r="V20" i="1"/>
  <c r="W20" i="1" s="1"/>
  <c r="X20" i="1"/>
  <c r="Y20" i="1" s="1"/>
  <c r="H20" i="1"/>
  <c r="X25" i="1"/>
  <c r="Y25" i="1" s="1"/>
  <c r="V25" i="1"/>
  <c r="X23" i="1"/>
  <c r="Y23" i="1" s="1"/>
  <c r="V23" i="1"/>
  <c r="W23" i="1" s="1"/>
  <c r="V18" i="1"/>
  <c r="W18" i="1" s="1"/>
  <c r="X18" i="1"/>
  <c r="Y18" i="1" s="1"/>
  <c r="X22" i="1"/>
  <c r="Y22" i="1" s="1"/>
  <c r="H17" i="1"/>
  <c r="I17" i="1"/>
  <c r="I72" i="1" s="1"/>
  <c r="T17" i="1"/>
  <c r="U17" i="1" s="1"/>
  <c r="T20" i="1"/>
  <c r="U20" i="1" s="1"/>
  <c r="I20" i="1"/>
  <c r="I75" i="1" s="1"/>
  <c r="H15" i="1"/>
  <c r="I15" i="1"/>
  <c r="I70" i="1" s="1"/>
  <c r="T15" i="1"/>
  <c r="U15" i="1" s="1"/>
  <c r="H19" i="1"/>
  <c r="I19" i="1"/>
  <c r="I74" i="1" s="1"/>
  <c r="T19" i="1"/>
  <c r="U19" i="1" s="1"/>
  <c r="H13" i="1"/>
  <c r="I13" i="1"/>
  <c r="T13" i="1"/>
  <c r="U13" i="1" s="1"/>
  <c r="H18" i="1"/>
  <c r="T18" i="1"/>
  <c r="U18" i="1" s="1"/>
  <c r="I18" i="1"/>
  <c r="I73" i="1" s="1"/>
  <c r="I24" i="1"/>
  <c r="I79" i="1" s="1"/>
  <c r="T24" i="1"/>
  <c r="U24" i="1" s="1"/>
  <c r="H23" i="1"/>
  <c r="I23" i="1"/>
  <c r="I78" i="1" s="1"/>
  <c r="T23" i="1"/>
  <c r="U23" i="1" s="1"/>
  <c r="H22" i="1"/>
  <c r="T22" i="1"/>
  <c r="U22" i="1" s="1"/>
  <c r="I22" i="1"/>
  <c r="I77" i="1" s="1"/>
  <c r="T12" i="1"/>
  <c r="U12" i="1" s="1"/>
  <c r="I12" i="1"/>
  <c r="I67" i="1" s="1"/>
  <c r="H21" i="1"/>
  <c r="I21" i="1"/>
  <c r="I76" i="1" s="1"/>
  <c r="T21" i="1"/>
  <c r="U21" i="1" s="1"/>
  <c r="I10" i="1"/>
  <c r="T10" i="1"/>
  <c r="U10" i="1" s="1"/>
  <c r="H10" i="1"/>
  <c r="H11" i="1"/>
  <c r="I11" i="1"/>
  <c r="I66" i="1" s="1"/>
  <c r="T11" i="1"/>
  <c r="U11" i="1" s="1"/>
  <c r="H12" i="1"/>
  <c r="H7" i="1"/>
  <c r="I7" i="1"/>
  <c r="T7" i="1"/>
  <c r="U7" i="1" s="1"/>
  <c r="H25" i="1"/>
  <c r="T25" i="1"/>
  <c r="U25" i="1" s="1"/>
  <c r="I25" i="1"/>
  <c r="H14" i="1"/>
  <c r="I14" i="1"/>
  <c r="I69" i="1" s="1"/>
  <c r="T14" i="1"/>
  <c r="U14" i="1" s="1"/>
  <c r="O11" i="1"/>
  <c r="D66" i="1" s="1"/>
  <c r="K66" i="1" s="1"/>
  <c r="O19" i="1"/>
  <c r="D74" i="1" s="1"/>
  <c r="K74" i="1" s="1"/>
  <c r="O16" i="1"/>
  <c r="D71" i="1" s="1"/>
  <c r="K71" i="1" s="1"/>
  <c r="O24" i="1"/>
  <c r="D79" i="1" s="1"/>
  <c r="K79" i="1" s="1"/>
  <c r="O15" i="1"/>
  <c r="D70" i="1" s="1"/>
  <c r="O23" i="1"/>
  <c r="D78" i="1" s="1"/>
  <c r="K78" i="1" s="1"/>
  <c r="O12" i="1"/>
  <c r="D67" i="1" s="1"/>
  <c r="K67" i="1" s="1"/>
  <c r="O20" i="1"/>
  <c r="D75" i="1" s="1"/>
  <c r="K75" i="1" s="1"/>
  <c r="K29" i="1"/>
  <c r="I26" i="4"/>
  <c r="H26" i="4"/>
  <c r="H30" i="4"/>
  <c r="Q7" i="1"/>
  <c r="S7" i="1" s="1"/>
  <c r="J16" i="1"/>
  <c r="G29" i="1"/>
  <c r="W25" i="1" l="1"/>
  <c r="F80" i="1" s="1"/>
  <c r="M80" i="1" s="1"/>
  <c r="Q14" i="1"/>
  <c r="Q10" i="1"/>
  <c r="S10" i="1" s="1"/>
  <c r="C65" i="1" s="1"/>
  <c r="J65" i="1" s="1"/>
  <c r="Q18" i="1"/>
  <c r="S18" i="1" s="1"/>
  <c r="C73" i="1" s="1"/>
  <c r="J73" i="1" s="1"/>
  <c r="Q17" i="1"/>
  <c r="S17" i="1" s="1"/>
  <c r="C72" i="1" s="1"/>
  <c r="J72" i="1" s="1"/>
  <c r="B80" i="1"/>
  <c r="I80" i="1"/>
  <c r="D84" i="1"/>
  <c r="K70" i="1"/>
  <c r="K84" i="1" s="1"/>
  <c r="Q21" i="1"/>
  <c r="S21" i="1" s="1"/>
  <c r="C76" i="1" s="1"/>
  <c r="J76" i="1" s="1"/>
  <c r="B62" i="1"/>
  <c r="I62" i="1"/>
  <c r="Q22" i="1"/>
  <c r="S22" i="1" s="1"/>
  <c r="C77" i="1" s="1"/>
  <c r="J77" i="1" s="1"/>
  <c r="S14" i="1"/>
  <c r="C69" i="1" s="1"/>
  <c r="J69" i="1" s="1"/>
  <c r="B65" i="1"/>
  <c r="I65" i="1"/>
  <c r="B68" i="1"/>
  <c r="I68" i="1"/>
  <c r="J11" i="1"/>
  <c r="B66" i="1"/>
  <c r="J19" i="1"/>
  <c r="B74" i="1"/>
  <c r="J22" i="1"/>
  <c r="B77" i="1"/>
  <c r="J7" i="1"/>
  <c r="J15" i="1"/>
  <c r="B70" i="1"/>
  <c r="J12" i="1"/>
  <c r="B67" i="1"/>
  <c r="J24" i="1"/>
  <c r="B79" i="1"/>
  <c r="J17" i="1"/>
  <c r="B72" i="1"/>
  <c r="J18" i="1"/>
  <c r="B73" i="1"/>
  <c r="J14" i="1"/>
  <c r="B69" i="1"/>
  <c r="J21" i="1"/>
  <c r="B76" i="1"/>
  <c r="J23" i="1"/>
  <c r="B78" i="1"/>
  <c r="J20" i="1"/>
  <c r="B75" i="1"/>
  <c r="Q25" i="1"/>
  <c r="E74" i="1"/>
  <c r="L74" i="1" s="1"/>
  <c r="G70" i="1"/>
  <c r="N70" i="1" s="1"/>
  <c r="F65" i="1"/>
  <c r="M65" i="1" s="1"/>
  <c r="F66" i="1"/>
  <c r="M66" i="1" s="1"/>
  <c r="E67" i="1"/>
  <c r="L67" i="1" s="1"/>
  <c r="G67" i="1"/>
  <c r="N67" i="1" s="1"/>
  <c r="G66" i="1"/>
  <c r="N66" i="1" s="1"/>
  <c r="E69" i="1"/>
  <c r="L69" i="1" s="1"/>
  <c r="F75" i="1"/>
  <c r="M75" i="1" s="1"/>
  <c r="F68" i="1"/>
  <c r="M68" i="1" s="1"/>
  <c r="E65" i="1"/>
  <c r="L65" i="1" s="1"/>
  <c r="E73" i="1"/>
  <c r="L73" i="1" s="1"/>
  <c r="G77" i="1"/>
  <c r="N77" i="1" s="1"/>
  <c r="G69" i="1"/>
  <c r="G79" i="1"/>
  <c r="N79" i="1" s="1"/>
  <c r="F69" i="1"/>
  <c r="F79" i="1"/>
  <c r="M79" i="1" s="1"/>
  <c r="Q13" i="1"/>
  <c r="E76" i="1"/>
  <c r="L76" i="1" s="1"/>
  <c r="E68" i="1"/>
  <c r="G78" i="1"/>
  <c r="N78" i="1" s="1"/>
  <c r="G74" i="1"/>
  <c r="N74" i="1" s="1"/>
  <c r="F76" i="1"/>
  <c r="M76" i="1" s="1"/>
  <c r="F74" i="1"/>
  <c r="M74" i="1" s="1"/>
  <c r="W29" i="1"/>
  <c r="E79" i="1"/>
  <c r="L79" i="1" s="1"/>
  <c r="E72" i="1"/>
  <c r="L72" i="1" s="1"/>
  <c r="G75" i="1"/>
  <c r="N75" i="1" s="1"/>
  <c r="G68" i="1"/>
  <c r="N68" i="1" s="1"/>
  <c r="G73" i="1"/>
  <c r="N73" i="1" s="1"/>
  <c r="F67" i="1"/>
  <c r="M67" i="1" s="1"/>
  <c r="E77" i="1"/>
  <c r="L77" i="1" s="1"/>
  <c r="E70" i="1"/>
  <c r="L70" i="1" s="1"/>
  <c r="F73" i="1"/>
  <c r="M73" i="1" s="1"/>
  <c r="F72" i="1"/>
  <c r="M72" i="1" s="1"/>
  <c r="F78" i="1"/>
  <c r="M78" i="1" s="1"/>
  <c r="G72" i="1"/>
  <c r="N72" i="1" s="1"/>
  <c r="E78" i="1"/>
  <c r="L78" i="1" s="1"/>
  <c r="G76" i="1"/>
  <c r="N76" i="1" s="1"/>
  <c r="E80" i="1"/>
  <c r="L80" i="1" s="1"/>
  <c r="E66" i="1"/>
  <c r="L66" i="1" s="1"/>
  <c r="E75" i="1"/>
  <c r="L75" i="1" s="1"/>
  <c r="G80" i="1"/>
  <c r="N80" i="1" s="1"/>
  <c r="F70" i="1"/>
  <c r="M70" i="1" s="1"/>
  <c r="G65" i="1"/>
  <c r="N65" i="1" s="1"/>
  <c r="H29" i="1"/>
  <c r="X29" i="1"/>
  <c r="V29" i="1"/>
  <c r="J13" i="1"/>
  <c r="J10" i="1"/>
  <c r="J25" i="1"/>
  <c r="T29" i="1"/>
  <c r="Q12" i="1"/>
  <c r="Q11" i="1"/>
  <c r="Q24" i="1"/>
  <c r="I29" i="1"/>
  <c r="G29" i="5"/>
  <c r="F29" i="5"/>
  <c r="Q19" i="1"/>
  <c r="O29" i="1"/>
  <c r="C62" i="1"/>
  <c r="Q20" i="1"/>
  <c r="Q15" i="1"/>
  <c r="S15" i="1" s="1"/>
  <c r="Q16" i="1"/>
  <c r="E62" i="1" l="1"/>
  <c r="L62" i="1" s="1"/>
  <c r="U29" i="1"/>
  <c r="G62" i="1"/>
  <c r="N62" i="1" s="1"/>
  <c r="Y29" i="1"/>
  <c r="J62" i="1"/>
  <c r="S13" i="1"/>
  <c r="C68" i="1" s="1"/>
  <c r="J68" i="1" s="1"/>
  <c r="I84" i="1"/>
  <c r="S11" i="1"/>
  <c r="C66" i="1" s="1"/>
  <c r="J66" i="1" s="1"/>
  <c r="S25" i="1"/>
  <c r="C80" i="1" s="1"/>
  <c r="J80" i="1" s="1"/>
  <c r="S20" i="1"/>
  <c r="C75" i="1" s="1"/>
  <c r="J75" i="1" s="1"/>
  <c r="S12" i="1"/>
  <c r="C67" i="1" s="1"/>
  <c r="J67" i="1" s="1"/>
  <c r="G84" i="1"/>
  <c r="N69" i="1"/>
  <c r="F62" i="1"/>
  <c r="M62" i="1" s="1"/>
  <c r="S19" i="1"/>
  <c r="C74" i="1" s="1"/>
  <c r="J74" i="1" s="1"/>
  <c r="E84" i="1"/>
  <c r="L68" i="1"/>
  <c r="L84" i="1" s="1"/>
  <c r="S16" i="1"/>
  <c r="C71" i="1" s="1"/>
  <c r="J71" i="1" s="1"/>
  <c r="S24" i="1"/>
  <c r="C79" i="1" s="1"/>
  <c r="J79" i="1" s="1"/>
  <c r="M69" i="1"/>
  <c r="B84" i="1"/>
  <c r="I30" i="4"/>
  <c r="C78" i="1"/>
  <c r="J78" i="1" s="1"/>
  <c r="C70" i="1"/>
  <c r="J70" i="1" s="1"/>
  <c r="Q29" i="1"/>
  <c r="N84" i="1" l="1"/>
  <c r="C84" i="1"/>
  <c r="M84" i="1"/>
  <c r="J84" i="1"/>
  <c r="F84" i="1"/>
  <c r="S29" i="1"/>
</calcChain>
</file>

<file path=xl/sharedStrings.xml><?xml version="1.0" encoding="utf-8"?>
<sst xmlns="http://schemas.openxmlformats.org/spreadsheetml/2006/main" count="342" uniqueCount="235">
  <si>
    <t>Year</t>
  </si>
  <si>
    <t>ADT</t>
  </si>
  <si>
    <t># Households</t>
  </si>
  <si>
    <t>Daily Trip Miles Saved per Household</t>
  </si>
  <si>
    <t>Total Daily Miles Saved</t>
  </si>
  <si>
    <t>Total Gallons of fuel saved</t>
  </si>
  <si>
    <t>Miles Saved</t>
  </si>
  <si>
    <r>
      <t>Metric Tons of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Saved</t>
    </r>
  </si>
  <si>
    <r>
      <t>Value of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Saved</t>
    </r>
  </si>
  <si>
    <t>Travel Time saved Per Day (Hours)</t>
  </si>
  <si>
    <t>Travel Time saved per year (hours)</t>
  </si>
  <si>
    <t>Value of time saved per day</t>
  </si>
  <si>
    <t>Value of time saved per year</t>
  </si>
  <si>
    <t>MV/year</t>
  </si>
  <si>
    <t>Accident Reduction / MV</t>
  </si>
  <si>
    <t># Accidents Reduced</t>
  </si>
  <si>
    <t>Value of Collision Reduction</t>
  </si>
  <si>
    <t>Discounted 3%</t>
  </si>
  <si>
    <t>Median home price</t>
  </si>
  <si>
    <t>3% Discount</t>
  </si>
  <si>
    <t>7% Discount</t>
  </si>
  <si>
    <t>Total Residential Property Value</t>
  </si>
  <si>
    <t>Net Increase</t>
  </si>
  <si>
    <t>Area (SY)</t>
  </si>
  <si>
    <t>Cost ($/SY)</t>
  </si>
  <si>
    <t>Crack Seal</t>
  </si>
  <si>
    <t>Chip Seal</t>
  </si>
  <si>
    <t>Total Cost</t>
  </si>
  <si>
    <t>No Maintenance</t>
  </si>
  <si>
    <t>Thin Overlay</t>
  </si>
  <si>
    <t>Discounted 7%</t>
  </si>
  <si>
    <t>Maintenance Action</t>
  </si>
  <si>
    <t>Totals</t>
  </si>
  <si>
    <t>% Trips saved by walking</t>
  </si>
  <si>
    <t>Length of individual trips saved (miles)</t>
  </si>
  <si>
    <t>Column K: SCC values from TIGER BCA Resource Guide page 6 of 19</t>
  </si>
  <si>
    <t>Average Annual Savings Per Light</t>
  </si>
  <si>
    <t>Total Savings over Incandescent</t>
  </si>
  <si>
    <t>3% and 7% discounting of savings (per Federal Register/Vol. 77, No. 20/ Tuesday, January 31, 2012/Notices page 4878)</t>
  </si>
  <si>
    <t>Pavement Maintenance Cost - With Project</t>
  </si>
  <si>
    <t xml:space="preserve">NPV CO2 Costs @ 3% Avg SCC </t>
  </si>
  <si>
    <t>Social Cost of Carbon @ a 3% Average in 2007$ (per ton)</t>
  </si>
  <si>
    <t>Social Cost of Carbon @ a 3% Average in 2013$ (per ton)</t>
  </si>
  <si>
    <t>Column L: SCC values converted from 2007$ to 2013$ (the most recent values available) using Consumer Price Index Values, see BAC Resource Guide page 11 of 21 (http://www.bls.gov/cpi/cpid1401.pdf   see Table 24)</t>
  </si>
  <si>
    <t>Project Year</t>
  </si>
  <si>
    <t>Column B: Lifespan of project by year</t>
  </si>
  <si>
    <t>Column F:  Daily trip miles x # Households</t>
  </si>
  <si>
    <t>Column G: Daily miles saved x 365 (366 in leap years)</t>
  </si>
  <si>
    <t>Column H: Assume 20 mpg for passenger cars</t>
  </si>
  <si>
    <t>Column J: Cost savings divided by # Households (per year savings)</t>
  </si>
  <si>
    <t>Column M: SCC values converted from 2007$ to 2013$ (the most recent values available) using Consumer Price Index Values, see BAC Resource Guide page 11 of 21 (http://www.bls.gov/cpi/cpid1401.pdf   see Table 24)</t>
  </si>
  <si>
    <t>Column Q: Travel time saved per day x 365</t>
  </si>
  <si>
    <t>Column B:  Calendar year</t>
  </si>
  <si>
    <t>Column A:  Project Year</t>
  </si>
  <si>
    <t>Column O: Metric tons saved x NPV of SCC</t>
  </si>
  <si>
    <t>Column D: % of ADT saved by walking</t>
  </si>
  <si>
    <t>Column E:  Length of each individual trip saved</t>
  </si>
  <si>
    <t>Column F:  ADT x % of trips saved x Length of each trip saved</t>
  </si>
  <si>
    <t>Column J:  From www.carbonfootprint.com/calculator.aspx, Footprint for # miles (column G) using a base 2009 Ford Focus FWD</t>
  </si>
  <si>
    <t>Column A: Project years</t>
  </si>
  <si>
    <t>Column E:  3% discount of median home price</t>
  </si>
  <si>
    <t>Column F:  7% discount of median home price</t>
  </si>
  <si>
    <t>Column G: Median home price x # Households</t>
  </si>
  <si>
    <t>Column H: 3% discount of total residential property value</t>
  </si>
  <si>
    <t>Column I:  7% discount of total residential property value</t>
  </si>
  <si>
    <t>Column C: Area to be used for commercial development</t>
  </si>
  <si>
    <t>Column N: Metric tons saved x NPV of SCC</t>
  </si>
  <si>
    <t># New Solar Street Lights</t>
  </si>
  <si>
    <t>Column G: Daily miles saved x 365 (366 for leap years)</t>
  </si>
  <si>
    <t>Column A: Project year</t>
  </si>
  <si>
    <t>Column B: Year</t>
  </si>
  <si>
    <t>Column C: # Existing Street Lights replaced or taken out of service as a result of the project</t>
  </si>
  <si>
    <t>Column D: Annual savings of solar street light over incandescent street light per Global Green Energy www.gg-energy.com</t>
  </si>
  <si>
    <t>Column E: # New Lights x Annual Savings per Light</t>
  </si>
  <si>
    <t>Column F: Discounting of savings at 3%</t>
  </si>
  <si>
    <t>Column G: Discounting of savings at 7%</t>
  </si>
  <si>
    <t>Column I: SCC values from TIGER BCA Resource Guide page 7 of 21 in 2007$</t>
  </si>
  <si>
    <t>Column L: Metric tons saved x NPV of SCC</t>
  </si>
  <si>
    <t>Passenger car miles eliminated (per year)</t>
  </si>
  <si>
    <t>Column N: Net Present Value of CO2 Costs based on TIGER BAC Resource Guide (page 8 of 21 and Table 2) SCC/(1.03^Project Year)</t>
  </si>
  <si>
    <t>Column M: Net Present Value of CO2 Costs based on TIGER BAC Resource Guide (page 8 of 21 and Table 2) SCC/(1.03^Project Year)</t>
  </si>
  <si>
    <t>Column K: Net Present Value of CO2 Costs based on TIGER BAC Resource Guide (page 8 of 21 and Table 2) SCC/(1.03^Project Year)</t>
  </si>
  <si>
    <t>Maintenance Cost</t>
  </si>
  <si>
    <t>Total Miles Traveled</t>
  </si>
  <si>
    <t>Shoshone Bannock Tribe, ID - Benefits Related to Travel</t>
  </si>
  <si>
    <t>Shoshone Bannock Tribe, ID - Benefits Related to Residential Property Value</t>
  </si>
  <si>
    <t>Column C:  # households in Shoshone Bannock Tribe, ID with a 1% per year growth rate</t>
  </si>
  <si>
    <t>Column D: Median home price in Shoshone Bannock Tribe, ID from US Census for 2008-2012.  Reflects a 2% increase in residential property values for 4 years post-construction (beginning in 2015)</t>
  </si>
  <si>
    <t>Shoshone Bannock Tribe, ID - Solar Lighting Savings</t>
  </si>
  <si>
    <t>Shoshone Bannock Tribe, ID - Benefits Related to Addition of Storm Drains</t>
  </si>
  <si>
    <t>Reduced maintance cost</t>
  </si>
  <si>
    <t>Increased service area</t>
  </si>
  <si>
    <t>Increased ridership</t>
  </si>
  <si>
    <t>New area to be  developed (Acres)</t>
  </si>
  <si>
    <t xml:space="preserve">Column F:  7% discount </t>
  </si>
  <si>
    <t>Column C:  Volume of average daily traffic on Ross Fork Road through Fort Hall, ID with a 1% per year growth rate</t>
  </si>
  <si>
    <t>https://datausa.io/profile/geo/fort-hall-id/</t>
  </si>
  <si>
    <t>Vehicle Operating Costs Saved</t>
  </si>
  <si>
    <t>Vehicle Operating Costs Saved per Household</t>
  </si>
  <si>
    <t>Column K:  From www.carbonfootprint.com/calculator.aspx, 1.13 metric tons of CO2 saved per household per year (3120 miles per household using a 2010 Ford Focus)</t>
  </si>
  <si>
    <t>Metric Tons of VOC Saved</t>
  </si>
  <si>
    <t>Metric Tons of NOX Saved</t>
  </si>
  <si>
    <t>Operating Cost Savings</t>
  </si>
  <si>
    <t>Column H: Assume 20 mpg for passenger cars and 10 mpg for the busses</t>
  </si>
  <si>
    <t>Bus Maintenance Cost</t>
  </si>
  <si>
    <t>Sidewalk and paved shoulder benefits</t>
  </si>
  <si>
    <t>Metric Tons of PM Saved</t>
  </si>
  <si>
    <t>Column L: SCC values from  https://19january2017snapshot.epa.gov/climatechange/social-cost-carbon_.html</t>
  </si>
  <si>
    <t>Social Cost of Carbon @ a 3% Average in 2017$ (per ton)</t>
  </si>
  <si>
    <t>http://www.lrc.rpi.edu/programs/NLPIP/PDF/VIEW/SR_StreetlightsLocal.pdf</t>
  </si>
  <si>
    <t>Use 180 lights</t>
  </si>
  <si>
    <t>https://aceee.org/partnerships-reduce-energy-use-public-outdoor</t>
  </si>
  <si>
    <t>Lower maintenance cost</t>
  </si>
  <si>
    <t>30-50% reduction in energy usage</t>
  </si>
  <si>
    <t>Social Cost of VOC (using $/short ton)</t>
  </si>
  <si>
    <t>Social Cost of PM (using ($ per short ton)</t>
  </si>
  <si>
    <t>Social Cost of NOX (using $ per short ton)</t>
  </si>
  <si>
    <t>Increased ridership (per year)</t>
  </si>
  <si>
    <t>Passenger car miles eliminated per passenger</t>
  </si>
  <si>
    <t xml:space="preserve">Column D: Commercial Value = $150,750 / Acre; Agricultural Value = $3,200 / Acre. </t>
  </si>
  <si>
    <r>
      <t>Value of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Saved at 3%</t>
    </r>
  </si>
  <si>
    <t>Vehicle Operating Costs Saved 3% Discount</t>
  </si>
  <si>
    <t>Value of Time Saved 3% Discount</t>
  </si>
  <si>
    <t>Value of Collision Reduction at 3%</t>
  </si>
  <si>
    <t>Social Cost of VOC at 3%</t>
  </si>
  <si>
    <t>Social Cost of PM at 3%</t>
  </si>
  <si>
    <t>Social Cost of NOX at 3%</t>
  </si>
  <si>
    <t>Vehicle Operating Costs Saved 7% Discount</t>
  </si>
  <si>
    <t>Value of Time Saved 7% Discount</t>
  </si>
  <si>
    <t>Value of CO2 Saved at 7%</t>
  </si>
  <si>
    <t>Value of Collision Reduction at 7%</t>
  </si>
  <si>
    <t>Social Cost of VOC at 7%</t>
  </si>
  <si>
    <t>Social Cost of PM at 7%</t>
  </si>
  <si>
    <t>Social Cost of NOX at 7%</t>
  </si>
  <si>
    <t>Operating Cost Savings at 3%</t>
  </si>
  <si>
    <t>Value of CO2 at 3%</t>
  </si>
  <si>
    <t>Operating Cost Savings at 7%</t>
  </si>
  <si>
    <t>Value of CO2 at 7%</t>
  </si>
  <si>
    <r>
      <t>Value of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Saved at 7%</t>
    </r>
  </si>
  <si>
    <r>
      <t xml:space="preserve">Value </t>
    </r>
    <r>
      <rPr>
        <b/>
        <sz val="11"/>
        <color theme="1"/>
        <rFont val="Calibri"/>
        <family val="2"/>
        <scheme val="minor"/>
      </rPr>
      <t xml:space="preserve"> Collsion Reduction at 3%</t>
    </r>
  </si>
  <si>
    <r>
      <t xml:space="preserve">Value of </t>
    </r>
    <r>
      <rPr>
        <b/>
        <sz val="11"/>
        <color theme="1"/>
        <rFont val="Calibri"/>
        <family val="2"/>
        <scheme val="minor"/>
      </rPr>
      <t>Collsion Reduction at 7%</t>
    </r>
  </si>
  <si>
    <t>Column E:  Assuming a typical household makes saves 2 trips to Pocatello, ID per week for goods and services (30-mile round trip), 30 trips*2 trips per week/7 days per week</t>
  </si>
  <si>
    <t>Miles Saved per year</t>
  </si>
  <si>
    <t>Column I:  Use BCA guide operating cost of passenger cars, $0.39 per mile</t>
  </si>
  <si>
    <t>Column E:  3% discount of increase in property value</t>
  </si>
  <si>
    <t>Column F:  7% discount of increase in property value</t>
  </si>
  <si>
    <t>Increase in property value per acre</t>
  </si>
  <si>
    <t>Total Increase in Property Value</t>
  </si>
  <si>
    <t>Column J: SCC values converted from 2007$ to 2017$ (the most recent values available) using Consumer Price Index Values, see BAC Resource Guide page 11 of 21 (http://www.bls.gov/cpi/cpid1401.pdf   see Table 24)</t>
  </si>
  <si>
    <t>Column H: CO2 savings of 930 lbs/light/year x 16 lights / 2205 lbs/metric ton per Global Green Energy www.gg-energy.com</t>
  </si>
  <si>
    <t>Value of CO2 Saved at 3%</t>
  </si>
  <si>
    <t>Property Damage</t>
  </si>
  <si>
    <t>Personal Injury</t>
  </si>
  <si>
    <t>Fatality</t>
  </si>
  <si>
    <t>Cost</t>
  </si>
  <si>
    <t>U</t>
  </si>
  <si>
    <t>O</t>
  </si>
  <si>
    <t>K</t>
  </si>
  <si>
    <t>Type</t>
  </si>
  <si>
    <t>KABCO Level</t>
  </si>
  <si>
    <t>Total Accidents</t>
  </si>
  <si>
    <t>Per Vehicle</t>
  </si>
  <si>
    <t>Injury Costs</t>
  </si>
  <si>
    <t>Yearly Cost</t>
  </si>
  <si>
    <t>Yearly Total</t>
  </si>
  <si>
    <t>https://safety.fhwa.dot.gov/tools/crf/resources/fhwasa08011/page3.cfm#linktarget_t8</t>
  </si>
  <si>
    <t xml:space="preserve">Pave shoulder </t>
  </si>
  <si>
    <t>Lighting</t>
  </si>
  <si>
    <t>Two-way Left Turn</t>
  </si>
  <si>
    <t>Install Sidewalk</t>
  </si>
  <si>
    <t>CRF</t>
  </si>
  <si>
    <t>Accident Reduction / MV Pave Shoulder</t>
  </si>
  <si>
    <t># Accidents Reduced Total</t>
  </si>
  <si>
    <t>Accident Reduction / MV Lighting</t>
  </si>
  <si>
    <t>Accident Reduction / MV TWLT</t>
  </si>
  <si>
    <t>Accident Reduction / MV Sidewalk</t>
  </si>
  <si>
    <t>Percent chance of flooding</t>
  </si>
  <si>
    <t>Column C: # of households</t>
  </si>
  <si>
    <t>Column D: % chance of flooding per year</t>
  </si>
  <si>
    <t>Column E:  Damage from flooding</t>
  </si>
  <si>
    <t xml:space="preserve">Column F:  3% discount </t>
  </si>
  <si>
    <t>http://www.floodtools.com/Map.aspx</t>
  </si>
  <si>
    <t>Past 10 years</t>
  </si>
  <si>
    <t xml:space="preserve">26 claims per </t>
  </si>
  <si>
    <t>100 insured people</t>
  </si>
  <si>
    <t xml:space="preserve">Average claim: </t>
  </si>
  <si>
    <t>Value of reduced damaged costs</t>
  </si>
  <si>
    <t>Column C:  Volume of average daily traffic on Ross Fork Road through Shoshone Bannock Tribe, ID with a 1% per year growth rate</t>
  </si>
  <si>
    <t>Values at 3% Discount</t>
  </si>
  <si>
    <t>Values at 7% Discount</t>
  </si>
  <si>
    <t>1.015*tons= metric tons</t>
  </si>
  <si>
    <t xml:space="preserve">Column T: Metric tons of VOC saved using  1.034 grams/mile (nepis.epa.gov) </t>
  </si>
  <si>
    <t xml:space="preserve">Column V: Metric tons of PM saved using  0.0044 grams/mile and 0.0041 grams/mile PM2.5 and PM10 (nepis.epa.gov) </t>
  </si>
  <si>
    <t xml:space="preserve">Column X: Metric tons of NOX saved using  0.693 grams/mile (nepis.epa.gov) </t>
  </si>
  <si>
    <t>Column I:  Crash reduction factor for paved shoulder</t>
  </si>
  <si>
    <t>Column J: Crash reduction factor for adding lighting to roadway</t>
  </si>
  <si>
    <t>Column K:  Crash reduction factor for adding TWLT Lane</t>
  </si>
  <si>
    <t>Column L:  Crash reduction factor for adding sidewalk</t>
  </si>
  <si>
    <t>Column M: Sum of CRF x MV/year</t>
  </si>
  <si>
    <t>Column H: ADT x 365 days/year /1,000,000</t>
  </si>
  <si>
    <t>Column N: Accidents reduced per year x cost of average accident in the area</t>
  </si>
  <si>
    <t>COST PER ACCIDENT IN AREA</t>
  </si>
  <si>
    <t>Value at 3% Discount</t>
  </si>
  <si>
    <t>Value at 7% Discount</t>
  </si>
  <si>
    <t xml:space="preserve">CRF: </t>
  </si>
  <si>
    <t>Column C:  Assume that of the systems 140,000 riders , one fifth of the users are in the district of the project area. Assume a 10% increase in users in project area.</t>
  </si>
  <si>
    <t>Column D: Assume each additional ridereliminates 4 passenger car miles</t>
  </si>
  <si>
    <t xml:space="preserve">Column E:  Increased ridership x passenger car miles eliminated per passenger </t>
  </si>
  <si>
    <t>Column F:  Assume 20 mpg passenger car</t>
  </si>
  <si>
    <t>Column G: Passenger car miles saved x $0.39 per mile operating cost (BCA Guidance)</t>
  </si>
  <si>
    <t>Column I: SCC values from  https://19january2017snapshot.epa.gov/climatechange/social-cost-carbon_.html</t>
  </si>
  <si>
    <t>Column J: SCC values converted from 2007$ to 2013$ (the most recent values available) using Consumer Price Index Values, see BAC Resource Guide page 11 of 21 (http://www.bls.gov/cpi/cpid1401.pdf   see Table 24)</t>
  </si>
  <si>
    <t>Column L: Metric tons of CO2 saved x 3% discount value of carbon</t>
  </si>
  <si>
    <t>Column M: Increase in ridership/1,000,000</t>
  </si>
  <si>
    <t>Column N: CRF for elimination of passenger cars</t>
  </si>
  <si>
    <t>Column O:  Accident reduction factor x MV/year</t>
  </si>
  <si>
    <t>Column P: # accidents reduced x cost of accident from "Safety" tab</t>
  </si>
  <si>
    <t>Column D: Assume continuation of $45,000 per year in maintenance</t>
  </si>
  <si>
    <t>Average Emission &amp; Fuel Consumption (EPA) Page 4</t>
  </si>
  <si>
    <t>Shoshone Bannock Tribe, ID - Benefits Related to Travel (Safety)</t>
  </si>
  <si>
    <t>Shoshone Bannock Tribe, ID - Benefits Related to Travel (Walking/Biking)</t>
  </si>
  <si>
    <t>Shoshone Bannock Tribe, ID - Benefits Related to New Development</t>
  </si>
  <si>
    <t>Shoshone Bannock Tribe, ID - Lifetime Maintenance Costs of Trails</t>
  </si>
  <si>
    <t>Shoshone Bannock Tribe, ID - Benefits Related to Transit Bus System</t>
  </si>
  <si>
    <t>Shoshone Bannock Tribe, ID - Transit Bus Maintenance Costs</t>
  </si>
  <si>
    <t>Column D: # Households in Fort Hall, ID with a 1% per year growth rate (http://worldpopulationreview.com/us-cities/fort-hall-id-population/)</t>
  </si>
  <si>
    <t>Column R: All Purposes rate of $16.10/hour cited from BCA Resource Guide</t>
  </si>
  <si>
    <t>Column P: Total Daily Miles Saved divided by 60 mph, multiplied by an average of 1.68 passengers per trip (from BCA Resource Guide)</t>
  </si>
  <si>
    <t>Column I:  Use BCA guide: $0.39 per mile for light duty vehicles (page 30)</t>
  </si>
  <si>
    <t>Column S: Travel time saved per year x $16.10/hr</t>
  </si>
  <si>
    <t>Column U: Social cost of VOC using $2000 per metric ton (BCA guide)</t>
  </si>
  <si>
    <t>Column W: Social cost of PM using $377800 per metric ton (BCA guide)</t>
  </si>
  <si>
    <t>Column Y: Social cost of NOX using $8300 per metric ton (BCA guide)</t>
  </si>
  <si>
    <t>Median property value: $124,100</t>
  </si>
  <si>
    <t># per year (average 2008-2019)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</si>
</sst>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#,##0.0"/>
    <numFmt numFmtId="167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left" readingOrder="1"/>
    </xf>
    <xf numFmtId="49" fontId="0" fillId="0" borderId="0" xfId="0" applyNumberFormat="1" applyAlignment="1">
      <alignment horizontal="center" readingOrder="1"/>
    </xf>
    <xf numFmtId="49" fontId="0" fillId="0" borderId="0" xfId="0" applyNumberFormat="1" applyAlignment="1">
      <alignment readingOrder="1"/>
    </xf>
    <xf numFmtId="0" fontId="0" fillId="2" borderId="6" xfId="0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center" vertical="top" wrapText="1"/>
    </xf>
    <xf numFmtId="1" fontId="0" fillId="0" borderId="0" xfId="0" applyNumberFormat="1" applyFill="1" applyBorder="1" applyAlignment="1">
      <alignment horizontal="center"/>
    </xf>
    <xf numFmtId="5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0" xfId="1"/>
    <xf numFmtId="0" fontId="1" fillId="2" borderId="6" xfId="0" applyFont="1" applyFill="1" applyBorder="1" applyAlignment="1">
      <alignment horizontal="center"/>
    </xf>
    <xf numFmtId="44" fontId="0" fillId="0" borderId="0" xfId="2" applyFont="1"/>
    <xf numFmtId="0" fontId="0" fillId="3" borderId="0" xfId="0" applyFill="1"/>
    <xf numFmtId="44" fontId="0" fillId="2" borderId="6" xfId="2" applyFont="1" applyFill="1" applyBorder="1" applyAlignment="1">
      <alignment horizontal="center"/>
    </xf>
    <xf numFmtId="44" fontId="1" fillId="2" borderId="6" xfId="2" applyFont="1" applyFill="1" applyBorder="1" applyAlignment="1">
      <alignment horizontal="center"/>
    </xf>
    <xf numFmtId="44" fontId="6" fillId="0" borderId="0" xfId="0" applyNumberFormat="1" applyFont="1"/>
    <xf numFmtId="0" fontId="6" fillId="0" borderId="0" xfId="0" applyFont="1" applyAlignment="1">
      <alignment wrapText="1"/>
    </xf>
    <xf numFmtId="44" fontId="0" fillId="0" borderId="0" xfId="0" applyNumberFormat="1"/>
    <xf numFmtId="49" fontId="0" fillId="0" borderId="0" xfId="0" applyNumberFormat="1" applyFill="1" applyAlignment="1">
      <alignment horizontal="left" readingOrder="1"/>
    </xf>
    <xf numFmtId="49" fontId="0" fillId="0" borderId="0" xfId="0" applyNumberFormat="1" applyFill="1" applyAlignment="1">
      <alignment readingOrder="1"/>
    </xf>
    <xf numFmtId="1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44" fontId="0" fillId="2" borderId="2" xfId="2" applyFont="1" applyFill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6" xfId="2" applyFont="1" applyBorder="1" applyAlignment="1">
      <alignment vertical="center"/>
    </xf>
    <xf numFmtId="4" fontId="0" fillId="2" borderId="2" xfId="0" applyNumberFormat="1" applyFill="1" applyBorder="1" applyAlignment="1">
      <alignment horizontal="center" vertical="center"/>
    </xf>
    <xf numFmtId="44" fontId="1" fillId="2" borderId="1" xfId="2" applyFont="1" applyFill="1" applyBorder="1" applyAlignment="1">
      <alignment horizontal="center" vertical="center"/>
    </xf>
    <xf numFmtId="0" fontId="4" fillId="0" borderId="0" xfId="1" applyAlignment="1">
      <alignment horizontal="left"/>
    </xf>
    <xf numFmtId="165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2" borderId="2" xfId="0" applyNumberForma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164" fontId="4" fillId="0" borderId="0" xfId="1" applyNumberFormat="1"/>
    <xf numFmtId="165" fontId="0" fillId="0" borderId="2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65" fontId="0" fillId="0" borderId="6" xfId="0" applyNumberForma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44" fontId="0" fillId="0" borderId="3" xfId="2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9" fontId="0" fillId="0" borderId="2" xfId="3" applyFont="1" applyBorder="1" applyAlignment="1">
      <alignment horizontal="center" vertical="center"/>
    </xf>
    <xf numFmtId="9" fontId="0" fillId="2" borderId="2" xfId="3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44" fontId="0" fillId="0" borderId="2" xfId="2" applyFont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165" fontId="0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65" fontId="1" fillId="2" borderId="6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166" fontId="0" fillId="0" borderId="8" xfId="0" applyNumberForma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165" fontId="0" fillId="0" borderId="8" xfId="0" applyNumberFormat="1" applyBorder="1"/>
    <xf numFmtId="0" fontId="0" fillId="0" borderId="8" xfId="0" applyFont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9" fontId="0" fillId="0" borderId="8" xfId="3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horizontal="center" vertical="center"/>
    </xf>
    <xf numFmtId="44" fontId="0" fillId="0" borderId="2" xfId="2" applyFont="1" applyFill="1" applyBorder="1" applyAlignment="1">
      <alignment vertical="center"/>
    </xf>
    <xf numFmtId="44" fontId="1" fillId="0" borderId="1" xfId="2" applyFon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pis.epa.gov/Exe/ZyNET.exe/P100EVXP.txt?ZyActionD=ZyDocument&amp;Client=EPA&amp;Index=2006%20Thru%202010&amp;Docs=&amp;Query=&amp;Time=&amp;EndTime=&amp;SearchMethod=1&amp;TocRestrict=n&amp;Toc=&amp;TocEntry=&amp;QField=&amp;QFieldYear=&amp;QFieldMonth=&amp;QFieldDay=&amp;UseQField=&amp;IntQFieldOp=0&amp;ExtQFie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floodtools.com/Map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epis.epa.gov/Exe/ZyNET.exe/P100EVXP.txt?ZyActionD=ZyDocument&amp;Client=EPA&amp;Index=2006%20Thru%202010&amp;Docs=&amp;Query=&amp;Time=&amp;EndTime=&amp;SearchMethod=1&amp;TocRestrict=n&amp;Toc=&amp;TocEntry=&amp;QField=&amp;QFieldYear=&amp;QFieldMonth=&amp;QFieldDay=&amp;UseQField=&amp;IntQFieldOp=0&amp;ExtQFiel" TargetMode="External"/><Relationship Id="rId1" Type="http://schemas.openxmlformats.org/officeDocument/2006/relationships/hyperlink" Target="https://safety.fhwa.dot.gov/tools/crf/resources/fhwasa08011/page3.cf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afety.fhwa.dot.gov/ped_bike/tools_solve/walkways_trifold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atausa.io/profile/geo/fort-hall-i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aceee.org/partnerships-reduce-energy-use-public-outdoor" TargetMode="External"/><Relationship Id="rId1" Type="http://schemas.openxmlformats.org/officeDocument/2006/relationships/hyperlink" Target="http://www.lrc.rpi.edu/programs/NLPIP/PDF/VIEW/SR_StreetlightsLocal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5"/>
  <sheetViews>
    <sheetView tabSelected="1" zoomScaleNormal="100" workbookViewId="0">
      <pane ySplit="3" topLeftCell="A4" activePane="bottomLeft" state="frozen"/>
      <selection pane="bottomLeft" activeCell="B26" sqref="B26"/>
    </sheetView>
  </sheetViews>
  <sheetFormatPr defaultRowHeight="14.5" x14ac:dyDescent="0.35"/>
  <cols>
    <col min="2" max="2" width="16.1796875" style="1" bestFit="1" customWidth="1"/>
    <col min="3" max="3" width="16.1796875" bestFit="1" customWidth="1"/>
    <col min="4" max="4" width="15" bestFit="1" customWidth="1"/>
    <col min="5" max="5" width="13.81640625" bestFit="1" customWidth="1"/>
    <col min="6" max="8" width="13.26953125" bestFit="1" customWidth="1"/>
    <col min="9" max="11" width="16.1796875" bestFit="1" customWidth="1"/>
    <col min="12" max="12" width="15.453125" style="28" customWidth="1"/>
    <col min="13" max="13" width="14.54296875" style="28" customWidth="1"/>
    <col min="14" max="14" width="13.26953125" style="28" bestFit="1" customWidth="1"/>
    <col min="15" max="15" width="15" style="28" customWidth="1"/>
    <col min="16" max="16" width="14" customWidth="1"/>
    <col min="17" max="19" width="12.54296875" customWidth="1"/>
    <col min="20" max="20" width="12.54296875" style="1" customWidth="1"/>
    <col min="21" max="21" width="13.81640625" style="1" customWidth="1"/>
    <col min="22" max="23" width="12.54296875" customWidth="1"/>
    <col min="24" max="24" width="10" bestFit="1" customWidth="1"/>
    <col min="25" max="25" width="13.26953125" bestFit="1" customWidth="1"/>
    <col min="27" max="27" width="13.26953125" bestFit="1" customWidth="1"/>
    <col min="29" max="29" width="13.26953125" bestFit="1" customWidth="1"/>
  </cols>
  <sheetData>
    <row r="1" spans="1:25" ht="15.5" x14ac:dyDescent="0.35">
      <c r="A1" s="104" t="s">
        <v>84</v>
      </c>
      <c r="K1" s="28"/>
    </row>
    <row r="2" spans="1:25" x14ac:dyDescent="0.35">
      <c r="K2" s="28"/>
    </row>
    <row r="3" spans="1:25" s="2" customFormat="1" ht="58" x14ac:dyDescent="0.35">
      <c r="A3" s="92" t="s">
        <v>44</v>
      </c>
      <c r="B3" s="92" t="s">
        <v>0</v>
      </c>
      <c r="C3" s="92" t="s">
        <v>1</v>
      </c>
      <c r="D3" s="92" t="s">
        <v>2</v>
      </c>
      <c r="E3" s="92" t="s">
        <v>3</v>
      </c>
      <c r="F3" s="92" t="s">
        <v>4</v>
      </c>
      <c r="G3" s="92" t="s">
        <v>142</v>
      </c>
      <c r="H3" s="92" t="s">
        <v>5</v>
      </c>
      <c r="I3" s="92" t="s">
        <v>97</v>
      </c>
      <c r="J3" s="92" t="s">
        <v>98</v>
      </c>
      <c r="K3" s="92" t="s">
        <v>7</v>
      </c>
      <c r="L3" s="102" t="s">
        <v>41</v>
      </c>
      <c r="M3" s="102" t="s">
        <v>108</v>
      </c>
      <c r="N3" s="102" t="s">
        <v>40</v>
      </c>
      <c r="O3" s="102" t="s">
        <v>120</v>
      </c>
      <c r="P3" s="92" t="s">
        <v>9</v>
      </c>
      <c r="Q3" s="92" t="s">
        <v>10</v>
      </c>
      <c r="R3" s="92" t="s">
        <v>11</v>
      </c>
      <c r="S3" s="92" t="s">
        <v>12</v>
      </c>
      <c r="T3" s="92" t="s">
        <v>100</v>
      </c>
      <c r="U3" s="92" t="s">
        <v>114</v>
      </c>
      <c r="V3" s="92" t="s">
        <v>106</v>
      </c>
      <c r="W3" s="92" t="s">
        <v>115</v>
      </c>
      <c r="X3" s="92" t="s">
        <v>101</v>
      </c>
      <c r="Y3" s="92" t="s">
        <v>116</v>
      </c>
    </row>
    <row r="4" spans="1:25" s="1" customFormat="1" x14ac:dyDescent="0.35">
      <c r="A4" s="66">
        <v>0</v>
      </c>
      <c r="B4" s="66">
        <v>2019</v>
      </c>
      <c r="C4" s="43">
        <v>4800</v>
      </c>
      <c r="D4" s="44">
        <v>1061</v>
      </c>
      <c r="E4" s="45"/>
      <c r="F4" s="44"/>
      <c r="G4" s="44"/>
      <c r="H4" s="44"/>
      <c r="I4" s="67"/>
      <c r="J4" s="68"/>
      <c r="K4" s="43"/>
      <c r="L4" s="101"/>
      <c r="M4" s="101"/>
      <c r="N4" s="101"/>
      <c r="O4" s="76"/>
      <c r="P4" s="43"/>
      <c r="Q4" s="43"/>
      <c r="R4" s="70"/>
      <c r="S4" s="70"/>
      <c r="T4" s="46"/>
      <c r="U4" s="68"/>
      <c r="V4" s="46"/>
      <c r="W4" s="68"/>
      <c r="X4" s="46"/>
      <c r="Y4" s="68"/>
    </row>
    <row r="5" spans="1:25" x14ac:dyDescent="0.35">
      <c r="A5" s="53">
        <v>0</v>
      </c>
      <c r="B5" s="53">
        <v>2020</v>
      </c>
      <c r="C5" s="47">
        <f t="shared" ref="C5:C6" si="0">$C$4*(1.01)^(B5-$B$4)</f>
        <v>4848</v>
      </c>
      <c r="D5" s="48">
        <f>$D$4*1.01^(B5-$B$4)</f>
        <v>1071.6099999999999</v>
      </c>
      <c r="E5" s="49"/>
      <c r="F5" s="48"/>
      <c r="G5" s="48"/>
      <c r="H5" s="48"/>
      <c r="I5" s="48"/>
      <c r="J5" s="65"/>
      <c r="K5" s="47"/>
      <c r="L5" s="142"/>
      <c r="M5" s="142"/>
      <c r="N5" s="142"/>
      <c r="O5" s="143"/>
      <c r="P5" s="47"/>
      <c r="Q5" s="47"/>
      <c r="R5" s="71"/>
      <c r="S5" s="71"/>
      <c r="T5" s="50"/>
      <c r="U5" s="65"/>
      <c r="V5" s="50"/>
      <c r="W5" s="65"/>
      <c r="X5" s="50"/>
      <c r="Y5" s="65"/>
    </row>
    <row r="6" spans="1:25" x14ac:dyDescent="0.35">
      <c r="A6" s="66">
        <v>0</v>
      </c>
      <c r="B6" s="66">
        <v>2021</v>
      </c>
      <c r="C6" s="43">
        <f t="shared" si="0"/>
        <v>4896.4800000000005</v>
      </c>
      <c r="D6" s="44">
        <f t="shared" ref="D6" si="1">$D$4*1.01^(B6-$B$4)</f>
        <v>1082.3261</v>
      </c>
      <c r="E6" s="45"/>
      <c r="F6" s="44"/>
      <c r="G6" s="44"/>
      <c r="H6" s="44"/>
      <c r="I6" s="44"/>
      <c r="J6" s="68"/>
      <c r="K6" s="43"/>
      <c r="L6" s="101"/>
      <c r="M6" s="101"/>
      <c r="N6" s="101"/>
      <c r="O6" s="76"/>
      <c r="P6" s="43"/>
      <c r="Q6" s="43"/>
      <c r="R6" s="70"/>
      <c r="S6" s="70"/>
      <c r="T6" s="46"/>
      <c r="U6" s="68"/>
      <c r="V6" s="46"/>
      <c r="W6" s="68"/>
      <c r="X6" s="46"/>
      <c r="Y6" s="68"/>
    </row>
    <row r="7" spans="1:25" x14ac:dyDescent="0.35">
      <c r="A7" s="53">
        <v>1</v>
      </c>
      <c r="B7" s="53">
        <v>2022</v>
      </c>
      <c r="C7" s="47">
        <f t="shared" ref="C7:C26" si="2">$C$4*(1.01)^(B7-$B$4)</f>
        <v>4945.4447999999993</v>
      </c>
      <c r="D7" s="48">
        <f t="shared" ref="D7:D25" si="3">$D$4*1.01^(B7-$B$4)</f>
        <v>1093.149361</v>
      </c>
      <c r="E7" s="49">
        <v>8.6</v>
      </c>
      <c r="F7" s="48">
        <f t="shared" ref="F7:F25" si="4">D7*E7</f>
        <v>9401.0845045999995</v>
      </c>
      <c r="G7" s="48">
        <f>E7*D7*365</f>
        <v>3431395.8441789998</v>
      </c>
      <c r="H7" s="48">
        <f t="shared" ref="H7:H25" si="5">G7/20</f>
        <v>171569.79220894998</v>
      </c>
      <c r="I7" s="51">
        <f t="shared" ref="I7:I26" si="6">G7*0.39</f>
        <v>1338244.3792298099</v>
      </c>
      <c r="J7" s="65">
        <f t="shared" ref="J7:J26" si="7">I7/D7</f>
        <v>1224.2099999999998</v>
      </c>
      <c r="K7" s="61">
        <f t="shared" ref="K7:K26" si="8">D7*1.13</f>
        <v>1235.25877793</v>
      </c>
      <c r="L7" s="65">
        <v>42</v>
      </c>
      <c r="M7" s="65">
        <f t="shared" ref="M7:M26" si="9">L7*(242.839/207.342)</f>
        <v>49.190410047168442</v>
      </c>
      <c r="N7" s="65">
        <f t="shared" ref="N7:N26" si="10">M7/(1.03^A7)</f>
        <v>47.757679657445088</v>
      </c>
      <c r="O7" s="64">
        <f t="shared" ref="O7:O26" si="11">K7*N7</f>
        <v>58993.093010428041</v>
      </c>
      <c r="P7" s="48">
        <f>F7/60*1.68</f>
        <v>263.23036612879997</v>
      </c>
      <c r="Q7" s="47">
        <f>P7*365</f>
        <v>96079.083637011994</v>
      </c>
      <c r="R7" s="64">
        <f>P7*16.1</f>
        <v>4238.0088946736796</v>
      </c>
      <c r="S7" s="64">
        <f>Q7*16.1</f>
        <v>1546873.2465558932</v>
      </c>
      <c r="T7" s="50">
        <f t="shared" ref="T7:T26" si="12">G7*1.034/1000000</f>
        <v>3.548063302881086</v>
      </c>
      <c r="U7" s="51">
        <f>T7*1.1015*2000</f>
        <v>7816.383456247032</v>
      </c>
      <c r="V7" s="50">
        <f t="shared" ref="V7:V26" si="13">G7*(0.0044+0.0041)/1000000</f>
        <v>2.9166864675521501E-2</v>
      </c>
      <c r="W7" s="51">
        <f>V7*1.1015*377800</f>
        <v>12137.694484064841</v>
      </c>
      <c r="X7" s="50">
        <f t="shared" ref="X7:X26" si="14">G7*(0.693)/1000000</f>
        <v>2.3779573200160464</v>
      </c>
      <c r="Y7" s="51">
        <f>X7*1.1015*8300</f>
        <v>21740.355900380699</v>
      </c>
    </row>
    <row r="8" spans="1:25" s="35" customFormat="1" x14ac:dyDescent="0.35">
      <c r="A8" s="93">
        <v>2</v>
      </c>
      <c r="B8" s="66">
        <v>2023</v>
      </c>
      <c r="C8" s="43">
        <f t="shared" si="2"/>
        <v>4994.8992479999997</v>
      </c>
      <c r="D8" s="44">
        <f t="shared" si="3"/>
        <v>1104.08085461</v>
      </c>
      <c r="E8" s="45">
        <v>8.6</v>
      </c>
      <c r="F8" s="44">
        <f t="shared" si="4"/>
        <v>9495.0953496459988</v>
      </c>
      <c r="G8" s="44">
        <f>E8*D8*366</f>
        <v>3475204.8979704357</v>
      </c>
      <c r="H8" s="44">
        <f t="shared" si="5"/>
        <v>173760.24489852178</v>
      </c>
      <c r="I8" s="52">
        <f t="shared" si="6"/>
        <v>1355329.91020847</v>
      </c>
      <c r="J8" s="68">
        <f t="shared" si="7"/>
        <v>1227.5640000000001</v>
      </c>
      <c r="K8" s="72">
        <f t="shared" si="8"/>
        <v>1247.6113657092999</v>
      </c>
      <c r="L8" s="101">
        <v>42</v>
      </c>
      <c r="M8" s="101">
        <f t="shared" si="9"/>
        <v>49.190410047168442</v>
      </c>
      <c r="N8" s="101">
        <f t="shared" si="10"/>
        <v>46.366679279072905</v>
      </c>
      <c r="O8" s="76">
        <f t="shared" si="11"/>
        <v>57847.596058769246</v>
      </c>
      <c r="P8" s="44">
        <f>F8/60*1.68</f>
        <v>265.86266979008798</v>
      </c>
      <c r="Q8" s="43">
        <f t="shared" ref="Q8:Q24" si="15">P8*365</f>
        <v>97039.874473382108</v>
      </c>
      <c r="R8" s="67">
        <f>P8*16.1</f>
        <v>4280.3889836204171</v>
      </c>
      <c r="S8" s="67">
        <f t="shared" ref="S8:S14" si="16">Q8*14.8</f>
        <v>1436190.1422060553</v>
      </c>
      <c r="T8" s="46">
        <f t="shared" si="12"/>
        <v>3.5933618645014307</v>
      </c>
      <c r="U8" s="52">
        <f>T8*1.1015*2000</f>
        <v>7916.1761874966514</v>
      </c>
      <c r="V8" s="46">
        <f t="shared" si="13"/>
        <v>2.9539241632748705E-2</v>
      </c>
      <c r="W8" s="52">
        <f>V8*1.1015*377800</f>
        <v>12292.657925970985</v>
      </c>
      <c r="X8" s="46">
        <f t="shared" si="14"/>
        <v>2.4083169942935116</v>
      </c>
      <c r="Y8" s="52">
        <f>X8*1.1015*8300</f>
        <v>22017.917704478714</v>
      </c>
    </row>
    <row r="9" spans="1:25" x14ac:dyDescent="0.35">
      <c r="A9" s="53">
        <v>3</v>
      </c>
      <c r="B9" s="53">
        <v>2024</v>
      </c>
      <c r="C9" s="47">
        <f t="shared" si="2"/>
        <v>5044.8482404799997</v>
      </c>
      <c r="D9" s="48">
        <f t="shared" si="3"/>
        <v>1115.1216631560999</v>
      </c>
      <c r="E9" s="49">
        <v>8.6</v>
      </c>
      <c r="F9" s="48">
        <f t="shared" si="4"/>
        <v>9590.0463031424588</v>
      </c>
      <c r="G9" s="48">
        <f>E9*D9*365</f>
        <v>3500366.9006469976</v>
      </c>
      <c r="H9" s="48">
        <f t="shared" si="5"/>
        <v>175018.34503234987</v>
      </c>
      <c r="I9" s="51">
        <f t="shared" si="6"/>
        <v>1365143.0912523291</v>
      </c>
      <c r="J9" s="65">
        <f t="shared" si="7"/>
        <v>1224.21</v>
      </c>
      <c r="K9" s="61">
        <f t="shared" si="8"/>
        <v>1260.0874793663927</v>
      </c>
      <c r="L9" s="65">
        <v>42</v>
      </c>
      <c r="M9" s="65">
        <f t="shared" si="9"/>
        <v>49.190410047168442</v>
      </c>
      <c r="N9" s="65">
        <f t="shared" si="10"/>
        <v>45.016193474828057</v>
      </c>
      <c r="O9" s="64">
        <f t="shared" si="11"/>
        <v>56724.341766365942</v>
      </c>
      <c r="P9" s="48">
        <f t="shared" ref="P9:P26" si="17">F9/60*1.68</f>
        <v>268.52129648798888</v>
      </c>
      <c r="Q9" s="47">
        <f>P9*365</f>
        <v>98010.273218115937</v>
      </c>
      <c r="R9" s="64">
        <f t="shared" ref="R9:R26" si="18">P9*16.1</f>
        <v>4323.1928734566209</v>
      </c>
      <c r="S9" s="64">
        <f t="shared" si="16"/>
        <v>1450552.0436281159</v>
      </c>
      <c r="T9" s="50">
        <f t="shared" si="12"/>
        <v>3.6193793752689958</v>
      </c>
      <c r="U9" s="51">
        <f t="shared" ref="U9:U26" si="19">T9*1.1015*2000</f>
        <v>7973.492763717597</v>
      </c>
      <c r="V9" s="50">
        <f t="shared" si="13"/>
        <v>2.9753118655499483E-2</v>
      </c>
      <c r="W9" s="51">
        <f t="shared" ref="W9:W26" si="20">V9*1.1015*377800</f>
        <v>12381.662143194546</v>
      </c>
      <c r="X9" s="50">
        <f t="shared" si="14"/>
        <v>2.4257542621483692</v>
      </c>
      <c r="Y9" s="51">
        <f t="shared" ref="Y9:Y26" si="21">X9*1.1015*8300</f>
        <v>22177.337053978357</v>
      </c>
    </row>
    <row r="10" spans="1:25" x14ac:dyDescent="0.35">
      <c r="A10" s="66">
        <v>4</v>
      </c>
      <c r="B10" s="66">
        <v>2025</v>
      </c>
      <c r="C10" s="43">
        <f t="shared" si="2"/>
        <v>5095.2967228848011</v>
      </c>
      <c r="D10" s="44">
        <f t="shared" si="3"/>
        <v>1126.2728797876612</v>
      </c>
      <c r="E10" s="45">
        <v>8.6</v>
      </c>
      <c r="F10" s="44">
        <f t="shared" si="4"/>
        <v>9685.9467661738854</v>
      </c>
      <c r="G10" s="44">
        <f>E10*D10*365</f>
        <v>3535370.5696534682</v>
      </c>
      <c r="H10" s="44">
        <f t="shared" si="5"/>
        <v>176768.5284826734</v>
      </c>
      <c r="I10" s="52">
        <f t="shared" si="6"/>
        <v>1378794.5221648526</v>
      </c>
      <c r="J10" s="68">
        <f t="shared" si="7"/>
        <v>1224.2099999999998</v>
      </c>
      <c r="K10" s="72">
        <f t="shared" si="8"/>
        <v>1272.6883541600571</v>
      </c>
      <c r="L10" s="101">
        <v>46</v>
      </c>
      <c r="M10" s="101">
        <f t="shared" si="9"/>
        <v>53.875211004041631</v>
      </c>
      <c r="N10" s="101">
        <f t="shared" si="10"/>
        <v>47.867427180815788</v>
      </c>
      <c r="O10" s="76">
        <f t="shared" si="11"/>
        <v>60920.31711662883</v>
      </c>
      <c r="P10" s="44">
        <f t="shared" si="17"/>
        <v>271.20650945286877</v>
      </c>
      <c r="Q10" s="43">
        <f>P10*366</f>
        <v>99261.582459749974</v>
      </c>
      <c r="R10" s="67">
        <f t="shared" si="18"/>
        <v>4366.4248021911881</v>
      </c>
      <c r="S10" s="67">
        <f t="shared" si="16"/>
        <v>1469071.4204042996</v>
      </c>
      <c r="T10" s="46">
        <f t="shared" si="12"/>
        <v>3.6555731690216859</v>
      </c>
      <c r="U10" s="52">
        <f t="shared" si="19"/>
        <v>8053.2276913547739</v>
      </c>
      <c r="V10" s="46">
        <f t="shared" si="13"/>
        <v>3.005064984205448E-2</v>
      </c>
      <c r="W10" s="52">
        <f t="shared" si="20"/>
        <v>12505.478764626492</v>
      </c>
      <c r="X10" s="46">
        <f t="shared" si="14"/>
        <v>2.4500118047698529</v>
      </c>
      <c r="Y10" s="52">
        <f t="shared" si="21"/>
        <v>22399.110424518141</v>
      </c>
    </row>
    <row r="11" spans="1:25" x14ac:dyDescent="0.35">
      <c r="A11" s="53">
        <v>5</v>
      </c>
      <c r="B11" s="53">
        <v>2026</v>
      </c>
      <c r="C11" s="47">
        <f t="shared" si="2"/>
        <v>5146.2496901136474</v>
      </c>
      <c r="D11" s="48">
        <f t="shared" si="3"/>
        <v>1137.5356085855374</v>
      </c>
      <c r="E11" s="49">
        <v>8.6</v>
      </c>
      <c r="F11" s="48">
        <f t="shared" si="4"/>
        <v>9782.8062338356212</v>
      </c>
      <c r="G11" s="48">
        <f>E11*D11*365</f>
        <v>3570724.2753500016</v>
      </c>
      <c r="H11" s="48">
        <f t="shared" si="5"/>
        <v>178536.21376750007</v>
      </c>
      <c r="I11" s="51">
        <f t="shared" si="6"/>
        <v>1392582.4673865007</v>
      </c>
      <c r="J11" s="65">
        <f t="shared" si="7"/>
        <v>1224.21</v>
      </c>
      <c r="K11" s="61">
        <f t="shared" si="8"/>
        <v>1285.4152377016571</v>
      </c>
      <c r="L11" s="65">
        <v>46</v>
      </c>
      <c r="M11" s="65">
        <f t="shared" si="9"/>
        <v>53.875211004041631</v>
      </c>
      <c r="N11" s="65">
        <f t="shared" si="10"/>
        <v>46.473230272636691</v>
      </c>
      <c r="O11" s="64">
        <f t="shared" si="11"/>
        <v>59737.398337665138</v>
      </c>
      <c r="P11" s="48">
        <f t="shared" si="17"/>
        <v>273.91857454739738</v>
      </c>
      <c r="Q11" s="47">
        <f t="shared" si="15"/>
        <v>99980.279709800045</v>
      </c>
      <c r="R11" s="64">
        <f t="shared" si="18"/>
        <v>4410.0890502130978</v>
      </c>
      <c r="S11" s="64">
        <f t="shared" si="16"/>
        <v>1479708.1397050407</v>
      </c>
      <c r="T11" s="50">
        <f t="shared" si="12"/>
        <v>3.6921289007119018</v>
      </c>
      <c r="U11" s="51">
        <f t="shared" si="19"/>
        <v>8133.7599682683185</v>
      </c>
      <c r="V11" s="50">
        <f t="shared" si="13"/>
        <v>3.0351156340475017E-2</v>
      </c>
      <c r="W11" s="51">
        <f t="shared" si="20"/>
        <v>12630.533552272753</v>
      </c>
      <c r="X11" s="50">
        <f t="shared" si="14"/>
        <v>2.4745119228175509</v>
      </c>
      <c r="Y11" s="51">
        <f t="shared" si="21"/>
        <v>22623.101528763316</v>
      </c>
    </row>
    <row r="12" spans="1:25" x14ac:dyDescent="0.35">
      <c r="A12" s="66">
        <v>6</v>
      </c>
      <c r="B12" s="66">
        <v>2027</v>
      </c>
      <c r="C12" s="43">
        <f t="shared" si="2"/>
        <v>5197.7121870147848</v>
      </c>
      <c r="D12" s="44">
        <f t="shared" si="3"/>
        <v>1148.9109646713932</v>
      </c>
      <c r="E12" s="45">
        <v>8.6</v>
      </c>
      <c r="F12" s="44">
        <f t="shared" si="4"/>
        <v>9880.6342961739811</v>
      </c>
      <c r="G12" s="44">
        <f>E12*D12*366</f>
        <v>3616312.1523996769</v>
      </c>
      <c r="H12" s="44">
        <f t="shared" si="5"/>
        <v>180815.60761998384</v>
      </c>
      <c r="I12" s="52">
        <f t="shared" si="6"/>
        <v>1410361.7394358739</v>
      </c>
      <c r="J12" s="68">
        <f t="shared" si="7"/>
        <v>1227.5639999999999</v>
      </c>
      <c r="K12" s="72">
        <f t="shared" si="8"/>
        <v>1298.2693900786742</v>
      </c>
      <c r="L12" s="101">
        <v>46</v>
      </c>
      <c r="M12" s="101">
        <f t="shared" si="9"/>
        <v>53.875211004041631</v>
      </c>
      <c r="N12" s="101">
        <f t="shared" si="10"/>
        <v>45.119641041394843</v>
      </c>
      <c r="O12" s="76">
        <f t="shared" si="11"/>
        <v>58577.448855380397</v>
      </c>
      <c r="P12" s="44">
        <f t="shared" si="17"/>
        <v>276.65776029287144</v>
      </c>
      <c r="Q12" s="43">
        <f t="shared" si="15"/>
        <v>100980.08250689808</v>
      </c>
      <c r="R12" s="67">
        <f t="shared" si="18"/>
        <v>4454.1899407152305</v>
      </c>
      <c r="S12" s="67">
        <f t="shared" si="16"/>
        <v>1494505.2211020917</v>
      </c>
      <c r="T12" s="46">
        <f t="shared" si="12"/>
        <v>3.7392667655812661</v>
      </c>
      <c r="U12" s="52">
        <f t="shared" si="19"/>
        <v>8237.6046845755282</v>
      </c>
      <c r="V12" s="46">
        <f t="shared" si="13"/>
        <v>3.0738653295397256E-2</v>
      </c>
      <c r="W12" s="52">
        <f t="shared" si="20"/>
        <v>12791.789131323691</v>
      </c>
      <c r="X12" s="46">
        <f t="shared" si="14"/>
        <v>2.5061043216129759</v>
      </c>
      <c r="Y12" s="52">
        <f t="shared" si="21"/>
        <v>22911.933455130551</v>
      </c>
    </row>
    <row r="13" spans="1:25" x14ac:dyDescent="0.35">
      <c r="A13" s="53">
        <v>7</v>
      </c>
      <c r="B13" s="53">
        <v>2028</v>
      </c>
      <c r="C13" s="47">
        <f t="shared" si="2"/>
        <v>5249.6893088849338</v>
      </c>
      <c r="D13" s="48">
        <f t="shared" si="3"/>
        <v>1160.400074318107</v>
      </c>
      <c r="E13" s="49">
        <v>8.6</v>
      </c>
      <c r="F13" s="48">
        <f>D13*E13</f>
        <v>9979.4406391357206</v>
      </c>
      <c r="G13" s="48">
        <f>E13*D13*365</f>
        <v>3642495.8332845382</v>
      </c>
      <c r="H13" s="48">
        <f t="shared" si="5"/>
        <v>182124.79166422691</v>
      </c>
      <c r="I13" s="51">
        <f t="shared" si="6"/>
        <v>1420573.3749809701</v>
      </c>
      <c r="J13" s="65">
        <f t="shared" si="7"/>
        <v>1224.2100000000003</v>
      </c>
      <c r="K13" s="61">
        <f t="shared" si="8"/>
        <v>1311.2520839794608</v>
      </c>
      <c r="L13" s="65">
        <v>46</v>
      </c>
      <c r="M13" s="65">
        <f t="shared" si="9"/>
        <v>53.875211004041631</v>
      </c>
      <c r="N13" s="65">
        <f t="shared" si="10"/>
        <v>43.805476739218292</v>
      </c>
      <c r="O13" s="64">
        <f t="shared" si="11"/>
        <v>57440.022664013784</v>
      </c>
      <c r="P13" s="48">
        <f t="shared" si="17"/>
        <v>279.42433789580019</v>
      </c>
      <c r="Q13" s="47">
        <f>P13*365</f>
        <v>101989.88333196707</v>
      </c>
      <c r="R13" s="64">
        <f t="shared" si="18"/>
        <v>4498.7318401223838</v>
      </c>
      <c r="S13" s="64">
        <f t="shared" si="16"/>
        <v>1509450.2733131126</v>
      </c>
      <c r="T13" s="50">
        <f t="shared" si="12"/>
        <v>3.7663406916162123</v>
      </c>
      <c r="U13" s="51">
        <f t="shared" si="19"/>
        <v>8297.2485436305142</v>
      </c>
      <c r="V13" s="50">
        <f t="shared" si="13"/>
        <v>3.0961214582918575E-2</v>
      </c>
      <c r="W13" s="51">
        <f t="shared" si="20"/>
        <v>12884.407276673441</v>
      </c>
      <c r="X13" s="50">
        <f t="shared" si="14"/>
        <v>2.5242496124661851</v>
      </c>
      <c r="Y13" s="51">
        <f t="shared" si="21"/>
        <v>23077.825869491473</v>
      </c>
    </row>
    <row r="14" spans="1:25" x14ac:dyDescent="0.35">
      <c r="A14" s="66">
        <v>8</v>
      </c>
      <c r="B14" s="66">
        <v>2029</v>
      </c>
      <c r="C14" s="43">
        <f t="shared" si="2"/>
        <v>5302.1862019737828</v>
      </c>
      <c r="D14" s="44">
        <f t="shared" si="3"/>
        <v>1172.0040750612882</v>
      </c>
      <c r="E14" s="45">
        <v>8.6</v>
      </c>
      <c r="F14" s="44">
        <f t="shared" si="4"/>
        <v>10079.235045527077</v>
      </c>
      <c r="G14" s="44">
        <f>E14*D14*365</f>
        <v>3678920.7916173832</v>
      </c>
      <c r="H14" s="44">
        <f t="shared" si="5"/>
        <v>183946.03958086917</v>
      </c>
      <c r="I14" s="52">
        <f t="shared" si="6"/>
        <v>1434779.1087307795</v>
      </c>
      <c r="J14" s="68">
        <f t="shared" si="7"/>
        <v>1224.2099999999998</v>
      </c>
      <c r="K14" s="72">
        <f t="shared" si="8"/>
        <v>1324.3646048192554</v>
      </c>
      <c r="L14" s="101">
        <v>46</v>
      </c>
      <c r="M14" s="101">
        <f t="shared" si="9"/>
        <v>53.875211004041631</v>
      </c>
      <c r="N14" s="101">
        <f t="shared" si="10"/>
        <v>42.529589067202231</v>
      </c>
      <c r="O14" s="76">
        <f t="shared" si="11"/>
        <v>56324.682418110606</v>
      </c>
      <c r="P14" s="44">
        <f t="shared" si="17"/>
        <v>282.21858127475815</v>
      </c>
      <c r="Q14" s="43">
        <f>P14*366</f>
        <v>103292.00074656148</v>
      </c>
      <c r="R14" s="67">
        <f t="shared" si="18"/>
        <v>4543.7191585236069</v>
      </c>
      <c r="S14" s="67">
        <f t="shared" si="16"/>
        <v>1528721.6110491098</v>
      </c>
      <c r="T14" s="46">
        <f t="shared" si="12"/>
        <v>3.8040040985323746</v>
      </c>
      <c r="U14" s="52">
        <f t="shared" si="19"/>
        <v>8380.2210290668208</v>
      </c>
      <c r="V14" s="46">
        <f t="shared" si="13"/>
        <v>3.1270826728747758E-2</v>
      </c>
      <c r="W14" s="52">
        <f t="shared" si="20"/>
        <v>13013.251349440176</v>
      </c>
      <c r="X14" s="46">
        <f t="shared" si="14"/>
        <v>2.5494921085908464</v>
      </c>
      <c r="Y14" s="52">
        <f t="shared" si="21"/>
        <v>23308.604128186384</v>
      </c>
    </row>
    <row r="15" spans="1:25" x14ac:dyDescent="0.35">
      <c r="A15" s="53">
        <v>9</v>
      </c>
      <c r="B15" s="53">
        <v>2030</v>
      </c>
      <c r="C15" s="47">
        <f t="shared" si="2"/>
        <v>5355.2080639935193</v>
      </c>
      <c r="D15" s="48">
        <f t="shared" si="3"/>
        <v>1183.7241158119009</v>
      </c>
      <c r="E15" s="49">
        <v>8.6</v>
      </c>
      <c r="F15" s="48">
        <f t="shared" si="4"/>
        <v>10180.027395982348</v>
      </c>
      <c r="G15" s="48">
        <f>E15*D15*365</f>
        <v>3715709.9995335569</v>
      </c>
      <c r="H15" s="48">
        <f t="shared" si="5"/>
        <v>185785.49997667785</v>
      </c>
      <c r="I15" s="51">
        <f t="shared" si="6"/>
        <v>1449126.8998180872</v>
      </c>
      <c r="J15" s="65">
        <f t="shared" si="7"/>
        <v>1224.21</v>
      </c>
      <c r="K15" s="61">
        <f t="shared" si="8"/>
        <v>1337.6082508674479</v>
      </c>
      <c r="L15" s="65">
        <v>50</v>
      </c>
      <c r="M15" s="65">
        <f t="shared" si="9"/>
        <v>58.560011960914814</v>
      </c>
      <c r="N15" s="65">
        <f t="shared" si="10"/>
        <v>44.881373013088044</v>
      </c>
      <c r="O15" s="64">
        <f t="shared" si="11"/>
        <v>60033.694852566179</v>
      </c>
      <c r="P15" s="48">
        <f t="shared" si="17"/>
        <v>285.04076708750574</v>
      </c>
      <c r="Q15" s="47">
        <f t="shared" si="15"/>
        <v>104039.8799869396</v>
      </c>
      <c r="R15" s="64">
        <f t="shared" si="18"/>
        <v>4589.1563501088431</v>
      </c>
      <c r="S15" s="64">
        <f>Q15*14.8</f>
        <v>1539790.2238067063</v>
      </c>
      <c r="T15" s="50">
        <f t="shared" si="12"/>
        <v>3.8420441395176979</v>
      </c>
      <c r="U15" s="51">
        <f t="shared" si="19"/>
        <v>8464.0232393574879</v>
      </c>
      <c r="V15" s="50">
        <f t="shared" si="13"/>
        <v>3.1583534996035237E-2</v>
      </c>
      <c r="W15" s="51">
        <f t="shared" si="20"/>
        <v>13143.383862934576</v>
      </c>
      <c r="X15" s="50">
        <f t="shared" si="14"/>
        <v>2.5749870296767545</v>
      </c>
      <c r="Y15" s="51">
        <f t="shared" si="21"/>
        <v>23541.690169468242</v>
      </c>
    </row>
    <row r="16" spans="1:25" x14ac:dyDescent="0.35">
      <c r="A16" s="66">
        <v>10</v>
      </c>
      <c r="B16" s="66">
        <v>2031</v>
      </c>
      <c r="C16" s="43">
        <f t="shared" si="2"/>
        <v>5408.7601446334547</v>
      </c>
      <c r="D16" s="44">
        <f t="shared" si="3"/>
        <v>1195.5613569700199</v>
      </c>
      <c r="E16" s="45">
        <v>8.6</v>
      </c>
      <c r="F16" s="44">
        <f t="shared" si="4"/>
        <v>10281.827669942171</v>
      </c>
      <c r="G16" s="44">
        <f>E16*D16*366</f>
        <v>3763148.9271988347</v>
      </c>
      <c r="H16" s="44">
        <f t="shared" si="5"/>
        <v>188157.44635994174</v>
      </c>
      <c r="I16" s="52">
        <f t="shared" si="6"/>
        <v>1467628.0816075455</v>
      </c>
      <c r="J16" s="68">
        <f t="shared" si="7"/>
        <v>1227.5640000000001</v>
      </c>
      <c r="K16" s="72">
        <f t="shared" si="8"/>
        <v>1350.9843333761223</v>
      </c>
      <c r="L16" s="101">
        <v>50</v>
      </c>
      <c r="M16" s="101">
        <f t="shared" si="9"/>
        <v>58.560011960914814</v>
      </c>
      <c r="N16" s="101">
        <f t="shared" si="10"/>
        <v>43.574148556396153</v>
      </c>
      <c r="O16" s="76">
        <f t="shared" si="11"/>
        <v>58867.992039894983</v>
      </c>
      <c r="P16" s="44">
        <f t="shared" si="17"/>
        <v>287.89117475838077</v>
      </c>
      <c r="Q16" s="43">
        <f t="shared" si="15"/>
        <v>105080.27878680898</v>
      </c>
      <c r="R16" s="67">
        <f t="shared" si="18"/>
        <v>4635.0479136099311</v>
      </c>
      <c r="S16" s="67">
        <f t="shared" ref="S16:S26" si="22">Q16*14.8</f>
        <v>1555188.126044773</v>
      </c>
      <c r="T16" s="46">
        <f t="shared" si="12"/>
        <v>3.8910959907235951</v>
      </c>
      <c r="U16" s="52">
        <f t="shared" si="19"/>
        <v>8572.0844675640801</v>
      </c>
      <c r="V16" s="46">
        <f t="shared" si="13"/>
        <v>3.19867658811901E-2</v>
      </c>
      <c r="W16" s="52">
        <f t="shared" si="20"/>
        <v>13311.187065129852</v>
      </c>
      <c r="X16" s="46">
        <f t="shared" si="14"/>
        <v>2.6078622065487922</v>
      </c>
      <c r="Y16" s="52">
        <f t="shared" si="21"/>
        <v>23842.249830262004</v>
      </c>
    </row>
    <row r="17" spans="1:25" x14ac:dyDescent="0.35">
      <c r="A17" s="53">
        <v>11</v>
      </c>
      <c r="B17" s="53">
        <v>2032</v>
      </c>
      <c r="C17" s="47">
        <f t="shared" si="2"/>
        <v>5462.8477460797894</v>
      </c>
      <c r="D17" s="48">
        <f t="shared" si="3"/>
        <v>1207.5169705397202</v>
      </c>
      <c r="E17" s="49">
        <v>8.6</v>
      </c>
      <c r="F17" s="48">
        <f t="shared" si="4"/>
        <v>10384.645946641593</v>
      </c>
      <c r="G17" s="48">
        <f>E17*D17*365</f>
        <v>3790395.7705241814</v>
      </c>
      <c r="H17" s="48">
        <f t="shared" si="5"/>
        <v>189519.78852620907</v>
      </c>
      <c r="I17" s="51">
        <f t="shared" si="6"/>
        <v>1478254.3505044307</v>
      </c>
      <c r="J17" s="65">
        <f t="shared" si="7"/>
        <v>1224.2099999999998</v>
      </c>
      <c r="K17" s="61">
        <f t="shared" si="8"/>
        <v>1364.4941767098837</v>
      </c>
      <c r="L17" s="65">
        <v>50</v>
      </c>
      <c r="M17" s="65">
        <f>L17*(242.839/207.342)</f>
        <v>58.560011960914814</v>
      </c>
      <c r="N17" s="65">
        <f t="shared" si="10"/>
        <v>42.304998598442872</v>
      </c>
      <c r="O17" s="64">
        <f>K17*N17</f>
        <v>57724.924233295089</v>
      </c>
      <c r="P17" s="48">
        <f t="shared" si="17"/>
        <v>290.77008650596463</v>
      </c>
      <c r="Q17" s="47">
        <f>P17*365</f>
        <v>106131.08157467708</v>
      </c>
      <c r="R17" s="64">
        <f t="shared" si="18"/>
        <v>4681.3983927460313</v>
      </c>
      <c r="S17" s="64">
        <f t="shared" si="22"/>
        <v>1570740.0073052209</v>
      </c>
      <c r="T17" s="50">
        <f t="shared" si="12"/>
        <v>3.9192692267220037</v>
      </c>
      <c r="U17" s="51">
        <f t="shared" si="19"/>
        <v>8634.1501064685744</v>
      </c>
      <c r="V17" s="50">
        <f t="shared" si="13"/>
        <v>3.2218364049455543E-2</v>
      </c>
      <c r="W17" s="51">
        <f t="shared" si="20"/>
        <v>13407.56587857956</v>
      </c>
      <c r="X17" s="50">
        <f t="shared" si="14"/>
        <v>2.6267442689732574</v>
      </c>
      <c r="Y17" s="51">
        <f t="shared" si="21"/>
        <v>24014.878141874557</v>
      </c>
    </row>
    <row r="18" spans="1:25" x14ac:dyDescent="0.35">
      <c r="A18" s="66">
        <v>12</v>
      </c>
      <c r="B18" s="66">
        <v>2033</v>
      </c>
      <c r="C18" s="43">
        <f t="shared" si="2"/>
        <v>5517.4762235405879</v>
      </c>
      <c r="D18" s="44">
        <f t="shared" si="3"/>
        <v>1219.5921402451174</v>
      </c>
      <c r="E18" s="45">
        <v>8.6</v>
      </c>
      <c r="F18" s="44">
        <f t="shared" si="4"/>
        <v>10488.492406108009</v>
      </c>
      <c r="G18" s="44">
        <f>E18*D18*365</f>
        <v>3828299.7282294235</v>
      </c>
      <c r="H18" s="44">
        <f t="shared" si="5"/>
        <v>191414.98641147118</v>
      </c>
      <c r="I18" s="52">
        <f t="shared" si="6"/>
        <v>1493036.8940094751</v>
      </c>
      <c r="J18" s="68">
        <f t="shared" si="7"/>
        <v>1224.21</v>
      </c>
      <c r="K18" s="72">
        <f t="shared" si="8"/>
        <v>1378.1391184769825</v>
      </c>
      <c r="L18" s="101">
        <v>50</v>
      </c>
      <c r="M18" s="101">
        <f t="shared" si="9"/>
        <v>58.560011960914814</v>
      </c>
      <c r="N18" s="101">
        <f t="shared" si="10"/>
        <v>41.072814173245511</v>
      </c>
      <c r="O18" s="76">
        <f t="shared" si="11"/>
        <v>56604.051918085483</v>
      </c>
      <c r="P18" s="44">
        <f t="shared" si="17"/>
        <v>293.67778737102424</v>
      </c>
      <c r="Q18" s="43">
        <f>P18*366</f>
        <v>107486.07017779487</v>
      </c>
      <c r="R18" s="67">
        <f t="shared" si="18"/>
        <v>4728.2123766734903</v>
      </c>
      <c r="S18" s="67">
        <f t="shared" si="22"/>
        <v>1590793.8386313641</v>
      </c>
      <c r="T18" s="46">
        <f t="shared" si="12"/>
        <v>3.9584619189892241</v>
      </c>
      <c r="U18" s="52">
        <f t="shared" si="19"/>
        <v>8720.4916075332603</v>
      </c>
      <c r="V18" s="46">
        <f t="shared" si="13"/>
        <v>3.25405476899501E-2</v>
      </c>
      <c r="W18" s="52">
        <f t="shared" si="20"/>
        <v>13541.641537365356</v>
      </c>
      <c r="X18" s="46">
        <f t="shared" si="14"/>
        <v>2.6530117116629905</v>
      </c>
      <c r="Y18" s="52">
        <f t="shared" si="21"/>
        <v>24255.026923293306</v>
      </c>
    </row>
    <row r="19" spans="1:25" x14ac:dyDescent="0.35">
      <c r="A19" s="53">
        <v>13</v>
      </c>
      <c r="B19" s="53">
        <v>2034</v>
      </c>
      <c r="C19" s="47">
        <f t="shared" si="2"/>
        <v>5572.6509857759929</v>
      </c>
      <c r="D19" s="48">
        <f t="shared" si="3"/>
        <v>1231.7880616475684</v>
      </c>
      <c r="E19" s="49">
        <v>8.6</v>
      </c>
      <c r="F19" s="48">
        <f t="shared" si="4"/>
        <v>10593.377330169087</v>
      </c>
      <c r="G19" s="48">
        <f>E19*D19*365</f>
        <v>3866582.7255117167</v>
      </c>
      <c r="H19" s="48">
        <f t="shared" si="5"/>
        <v>193329.13627558583</v>
      </c>
      <c r="I19" s="51">
        <f t="shared" si="6"/>
        <v>1507967.2629495696</v>
      </c>
      <c r="J19" s="65">
        <f t="shared" si="7"/>
        <v>1224.21</v>
      </c>
      <c r="K19" s="61">
        <f t="shared" si="8"/>
        <v>1391.9205096617522</v>
      </c>
      <c r="L19" s="65">
        <v>50</v>
      </c>
      <c r="M19" s="65">
        <f t="shared" si="9"/>
        <v>58.560011960914814</v>
      </c>
      <c r="N19" s="65">
        <f t="shared" si="10"/>
        <v>39.876518614801469</v>
      </c>
      <c r="O19" s="64">
        <f t="shared" si="11"/>
        <v>55504.944113850812</v>
      </c>
      <c r="P19" s="48">
        <f t="shared" si="17"/>
        <v>296.61456524473442</v>
      </c>
      <c r="Q19" s="47">
        <f t="shared" si="15"/>
        <v>108264.31631432807</v>
      </c>
      <c r="R19" s="64">
        <f t="shared" si="18"/>
        <v>4775.4945004402243</v>
      </c>
      <c r="S19" s="64">
        <f t="shared" si="22"/>
        <v>1602311.8814520554</v>
      </c>
      <c r="T19" s="50">
        <f t="shared" si="12"/>
        <v>3.9980465381791155</v>
      </c>
      <c r="U19" s="51">
        <f t="shared" si="19"/>
        <v>8807.6965236085907</v>
      </c>
      <c r="V19" s="50">
        <f t="shared" si="13"/>
        <v>3.2865953166849593E-2</v>
      </c>
      <c r="W19" s="51">
        <f t="shared" si="20"/>
        <v>13677.057952739007</v>
      </c>
      <c r="X19" s="50">
        <f t="shared" si="14"/>
        <v>2.6795418287796196</v>
      </c>
      <c r="Y19" s="51">
        <f t="shared" si="21"/>
        <v>24497.577192526231</v>
      </c>
    </row>
    <row r="20" spans="1:25" x14ac:dyDescent="0.35">
      <c r="A20" s="66">
        <v>14</v>
      </c>
      <c r="B20" s="66">
        <v>2035</v>
      </c>
      <c r="C20" s="43">
        <f t="shared" si="2"/>
        <v>5628.3774956337538</v>
      </c>
      <c r="D20" s="44">
        <f t="shared" si="3"/>
        <v>1244.1059422640444</v>
      </c>
      <c r="E20" s="45">
        <v>8.6</v>
      </c>
      <c r="F20" s="44">
        <f t="shared" si="4"/>
        <v>10699.311103470782</v>
      </c>
      <c r="G20" s="44">
        <f>E20*D20*366</f>
        <v>3915947.8638703059</v>
      </c>
      <c r="H20" s="44">
        <f t="shared" si="5"/>
        <v>195797.39319351531</v>
      </c>
      <c r="I20" s="52">
        <f t="shared" si="6"/>
        <v>1527219.6669094195</v>
      </c>
      <c r="J20" s="68">
        <f t="shared" si="7"/>
        <v>1227.5640000000001</v>
      </c>
      <c r="K20" s="72">
        <f t="shared" si="8"/>
        <v>1405.8397147583701</v>
      </c>
      <c r="L20" s="101">
        <v>55</v>
      </c>
      <c r="M20" s="101">
        <f t="shared" si="9"/>
        <v>64.41601315700629</v>
      </c>
      <c r="N20" s="101">
        <f t="shared" si="10"/>
        <v>42.586573277943309</v>
      </c>
      <c r="O20" s="76">
        <f t="shared" si="11"/>
        <v>59869.896029600248</v>
      </c>
      <c r="P20" s="44">
        <f t="shared" si="17"/>
        <v>299.58071089718192</v>
      </c>
      <c r="Q20" s="43">
        <f t="shared" si="15"/>
        <v>109346.95947747141</v>
      </c>
      <c r="R20" s="67">
        <f t="shared" si="18"/>
        <v>4823.2494454446296</v>
      </c>
      <c r="S20" s="67">
        <f t="shared" si="22"/>
        <v>1618335.0002665769</v>
      </c>
      <c r="T20" s="46">
        <f t="shared" si="12"/>
        <v>4.0490900912418963</v>
      </c>
      <c r="U20" s="52">
        <f t="shared" si="19"/>
        <v>8920.145471005897</v>
      </c>
      <c r="V20" s="46">
        <f t="shared" si="13"/>
        <v>3.3285556842897607E-2</v>
      </c>
      <c r="W20" s="52">
        <f t="shared" si="20"/>
        <v>13851.674637834256</v>
      </c>
      <c r="X20" s="46">
        <f t="shared" si="14"/>
        <v>2.7137518696621217</v>
      </c>
      <c r="Y20" s="52">
        <f t="shared" si="21"/>
        <v>24810.340780792463</v>
      </c>
    </row>
    <row r="21" spans="1:25" x14ac:dyDescent="0.35">
      <c r="A21" s="53">
        <v>15</v>
      </c>
      <c r="B21" s="53">
        <v>2036</v>
      </c>
      <c r="C21" s="47">
        <f t="shared" si="2"/>
        <v>5684.6612705900916</v>
      </c>
      <c r="D21" s="48">
        <f t="shared" si="3"/>
        <v>1256.547001686685</v>
      </c>
      <c r="E21" s="49">
        <v>8.6</v>
      </c>
      <c r="F21" s="48">
        <f t="shared" si="4"/>
        <v>10806.304214505491</v>
      </c>
      <c r="G21" s="48">
        <f>E21*D21*365</f>
        <v>3944301.0382945044</v>
      </c>
      <c r="H21" s="48">
        <f t="shared" si="5"/>
        <v>197215.05191472522</v>
      </c>
      <c r="I21" s="51">
        <f t="shared" si="6"/>
        <v>1538277.4049348568</v>
      </c>
      <c r="J21" s="65">
        <f t="shared" si="7"/>
        <v>1224.21</v>
      </c>
      <c r="K21" s="61">
        <f t="shared" si="8"/>
        <v>1419.898111905954</v>
      </c>
      <c r="L21" s="65">
        <v>55</v>
      </c>
      <c r="M21" s="65">
        <f t="shared" si="9"/>
        <v>64.41601315700629</v>
      </c>
      <c r="N21" s="65">
        <f t="shared" si="10"/>
        <v>41.346187648488645</v>
      </c>
      <c r="O21" s="64">
        <f t="shared" si="11"/>
        <v>58707.373776598302</v>
      </c>
      <c r="P21" s="48">
        <f t="shared" si="17"/>
        <v>302.57651800615378</v>
      </c>
      <c r="Q21" s="47">
        <f>P21*365</f>
        <v>110440.42907224613</v>
      </c>
      <c r="R21" s="64">
        <f t="shared" si="18"/>
        <v>4871.4819398990767</v>
      </c>
      <c r="S21" s="64">
        <f t="shared" si="22"/>
        <v>1634518.3502692429</v>
      </c>
      <c r="T21" s="50">
        <f t="shared" si="12"/>
        <v>4.0784072735965173</v>
      </c>
      <c r="U21" s="51">
        <f t="shared" si="19"/>
        <v>8984.7312237331262</v>
      </c>
      <c r="V21" s="50">
        <f t="shared" si="13"/>
        <v>3.3526558825503296E-2</v>
      </c>
      <c r="W21" s="51">
        <f t="shared" si="20"/>
        <v>13951.966817589071</v>
      </c>
      <c r="X21" s="50">
        <f t="shared" si="14"/>
        <v>2.7334006195380911</v>
      </c>
      <c r="Y21" s="51">
        <f t="shared" si="21"/>
        <v>24989.97849409602</v>
      </c>
    </row>
    <row r="22" spans="1:25" x14ac:dyDescent="0.35">
      <c r="A22" s="66">
        <v>16</v>
      </c>
      <c r="B22" s="66">
        <v>2037</v>
      </c>
      <c r="C22" s="43">
        <f t="shared" si="2"/>
        <v>5741.5078832959935</v>
      </c>
      <c r="D22" s="44">
        <f t="shared" si="3"/>
        <v>1269.1124717035518</v>
      </c>
      <c r="E22" s="45">
        <v>8.6</v>
      </c>
      <c r="F22" s="44">
        <f t="shared" si="4"/>
        <v>10914.367256650545</v>
      </c>
      <c r="G22" s="44">
        <f>E22*D22*365</f>
        <v>3983744.0486774486</v>
      </c>
      <c r="H22" s="44">
        <f t="shared" si="5"/>
        <v>199187.20243387244</v>
      </c>
      <c r="I22" s="52">
        <f t="shared" si="6"/>
        <v>1553660.178984205</v>
      </c>
      <c r="J22" s="68">
        <f t="shared" si="7"/>
        <v>1224.2099999999998</v>
      </c>
      <c r="K22" s="72">
        <f t="shared" si="8"/>
        <v>1434.0970930250135</v>
      </c>
      <c r="L22" s="101">
        <v>55</v>
      </c>
      <c r="M22" s="101">
        <f t="shared" si="9"/>
        <v>64.41601315700629</v>
      </c>
      <c r="N22" s="101">
        <f t="shared" si="10"/>
        <v>40.141929755814225</v>
      </c>
      <c r="O22" s="76">
        <f t="shared" si="11"/>
        <v>57567.424771227466</v>
      </c>
      <c r="P22" s="44">
        <f t="shared" si="17"/>
        <v>305.60228318621523</v>
      </c>
      <c r="Q22" s="43">
        <f>P22*366</f>
        <v>111850.43564615477</v>
      </c>
      <c r="R22" s="67">
        <f t="shared" si="18"/>
        <v>4920.1967592980654</v>
      </c>
      <c r="S22" s="67">
        <f t="shared" si="22"/>
        <v>1655386.4475630906</v>
      </c>
      <c r="T22" s="46">
        <f t="shared" si="12"/>
        <v>4.1191913463324816</v>
      </c>
      <c r="U22" s="52">
        <f t="shared" si="19"/>
        <v>9074.5785359704569</v>
      </c>
      <c r="V22" s="46">
        <f t="shared" si="13"/>
        <v>3.3861824413758318E-2</v>
      </c>
      <c r="W22" s="52">
        <f t="shared" si="20"/>
        <v>14091.486485764957</v>
      </c>
      <c r="X22" s="46">
        <f t="shared" si="14"/>
        <v>2.7607346257334719</v>
      </c>
      <c r="Y22" s="52">
        <f t="shared" si="21"/>
        <v>25239.878279036981</v>
      </c>
    </row>
    <row r="23" spans="1:25" x14ac:dyDescent="0.35">
      <c r="A23" s="53">
        <v>17</v>
      </c>
      <c r="B23" s="53">
        <v>2038</v>
      </c>
      <c r="C23" s="47">
        <f t="shared" si="2"/>
        <v>5798.9229621289514</v>
      </c>
      <c r="D23" s="48">
        <f t="shared" si="3"/>
        <v>1281.8035964205872</v>
      </c>
      <c r="E23" s="49">
        <v>8.6</v>
      </c>
      <c r="F23" s="48">
        <f t="shared" si="4"/>
        <v>11023.510929217049</v>
      </c>
      <c r="G23" s="48">
        <f>E23*D23*365</f>
        <v>4023581.489164223</v>
      </c>
      <c r="H23" s="48">
        <f t="shared" si="5"/>
        <v>201179.07445821114</v>
      </c>
      <c r="I23" s="51">
        <f t="shared" si="6"/>
        <v>1569196.7807740469</v>
      </c>
      <c r="J23" s="65">
        <f t="shared" si="7"/>
        <v>1224.2099999999998</v>
      </c>
      <c r="K23" s="61">
        <f t="shared" si="8"/>
        <v>1448.4380639552633</v>
      </c>
      <c r="L23" s="65">
        <v>55</v>
      </c>
      <c r="M23" s="65">
        <f t="shared" si="9"/>
        <v>64.41601315700629</v>
      </c>
      <c r="N23" s="65">
        <f t="shared" si="10"/>
        <v>38.972747335741964</v>
      </c>
      <c r="O23" s="64">
        <f t="shared" si="11"/>
        <v>56449.610697999735</v>
      </c>
      <c r="P23" s="48">
        <f t="shared" si="17"/>
        <v>308.65830601807738</v>
      </c>
      <c r="Q23" s="47">
        <f>P23*365</f>
        <v>112660.28169659825</v>
      </c>
      <c r="R23" s="64">
        <f t="shared" si="18"/>
        <v>4969.398726891046</v>
      </c>
      <c r="S23" s="64">
        <f t="shared" si="22"/>
        <v>1667372.1691096541</v>
      </c>
      <c r="T23" s="50">
        <f t="shared" si="12"/>
        <v>4.1603832597958066</v>
      </c>
      <c r="U23" s="51">
        <f t="shared" si="19"/>
        <v>9165.3243213301612</v>
      </c>
      <c r="V23" s="50">
        <f t="shared" si="13"/>
        <v>3.4200442657895895E-2</v>
      </c>
      <c r="W23" s="51">
        <f t="shared" si="20"/>
        <v>14232.401350622604</v>
      </c>
      <c r="X23" s="50">
        <f t="shared" si="14"/>
        <v>2.7883419719908065</v>
      </c>
      <c r="Y23" s="51">
        <f t="shared" si="21"/>
        <v>25492.27706182735</v>
      </c>
    </row>
    <row r="24" spans="1:25" x14ac:dyDescent="0.35">
      <c r="A24" s="66">
        <v>18</v>
      </c>
      <c r="B24" s="66">
        <v>2039</v>
      </c>
      <c r="C24" s="43">
        <f t="shared" si="2"/>
        <v>5856.9121917502416</v>
      </c>
      <c r="D24" s="44">
        <f t="shared" si="3"/>
        <v>1294.621632384793</v>
      </c>
      <c r="E24" s="45">
        <v>8.6</v>
      </c>
      <c r="F24" s="44">
        <f t="shared" si="4"/>
        <v>11133.74603850922</v>
      </c>
      <c r="G24" s="44">
        <f>E24*D24*366</f>
        <v>4074951.0500943745</v>
      </c>
      <c r="H24" s="44">
        <f t="shared" si="5"/>
        <v>203747.55250471871</v>
      </c>
      <c r="I24" s="52">
        <f t="shared" si="6"/>
        <v>1589230.9095368062</v>
      </c>
      <c r="J24" s="68">
        <f t="shared" si="7"/>
        <v>1227.5640000000001</v>
      </c>
      <c r="K24" s="72">
        <f t="shared" si="8"/>
        <v>1462.9224445948159</v>
      </c>
      <c r="L24" s="101">
        <v>55</v>
      </c>
      <c r="M24" s="101">
        <f t="shared" si="9"/>
        <v>64.41601315700629</v>
      </c>
      <c r="N24" s="101">
        <f t="shared" si="10"/>
        <v>37.837618772565015</v>
      </c>
      <c r="O24" s="76">
        <f t="shared" si="11"/>
        <v>55353.501752407508</v>
      </c>
      <c r="P24" s="44">
        <f t="shared" si="17"/>
        <v>311.7448890782581</v>
      </c>
      <c r="Q24" s="43">
        <f t="shared" si="15"/>
        <v>113786.8845135642</v>
      </c>
      <c r="R24" s="67">
        <f t="shared" si="18"/>
        <v>5019.0927141599559</v>
      </c>
      <c r="S24" s="67">
        <f t="shared" si="22"/>
        <v>1684045.8908007503</v>
      </c>
      <c r="T24" s="46">
        <f t="shared" si="12"/>
        <v>4.2134993857975838</v>
      </c>
      <c r="U24" s="52">
        <f t="shared" si="19"/>
        <v>9282.3391469120761</v>
      </c>
      <c r="V24" s="46">
        <f t="shared" si="13"/>
        <v>3.4637083925802191E-2</v>
      </c>
      <c r="W24" s="52">
        <f t="shared" si="20"/>
        <v>14414.108173345627</v>
      </c>
      <c r="X24" s="46">
        <f t="shared" si="14"/>
        <v>2.8239410777154013</v>
      </c>
      <c r="Y24" s="52">
        <f t="shared" si="21"/>
        <v>25817.740105959168</v>
      </c>
    </row>
    <row r="25" spans="1:25" x14ac:dyDescent="0.35">
      <c r="A25" s="53">
        <v>19</v>
      </c>
      <c r="B25" s="53">
        <v>2040</v>
      </c>
      <c r="C25" s="47">
        <f t="shared" si="2"/>
        <v>5915.481313667744</v>
      </c>
      <c r="D25" s="48">
        <f t="shared" si="3"/>
        <v>1307.5678487086409</v>
      </c>
      <c r="E25" s="49">
        <v>8.6</v>
      </c>
      <c r="F25" s="48">
        <f t="shared" si="4"/>
        <v>11245.083498894312</v>
      </c>
      <c r="G25" s="48">
        <f>E25*D25*365</f>
        <v>4104455.4770964235</v>
      </c>
      <c r="H25" s="48">
        <f t="shared" si="5"/>
        <v>205222.77385482116</v>
      </c>
      <c r="I25" s="51">
        <f t="shared" si="6"/>
        <v>1600737.6360676051</v>
      </c>
      <c r="J25" s="65">
        <f t="shared" si="7"/>
        <v>1224.2099999999998</v>
      </c>
      <c r="K25" s="61">
        <f t="shared" si="8"/>
        <v>1477.5516690407642</v>
      </c>
      <c r="L25" s="65">
        <v>60</v>
      </c>
      <c r="M25" s="65">
        <f t="shared" si="9"/>
        <v>70.272014353097774</v>
      </c>
      <c r="N25" s="65">
        <f t="shared" si="10"/>
        <v>40.075147861498692</v>
      </c>
      <c r="O25" s="64">
        <f t="shared" si="11"/>
        <v>59213.101609812802</v>
      </c>
      <c r="P25" s="48">
        <f t="shared" si="17"/>
        <v>314.86233796904071</v>
      </c>
      <c r="Q25" s="47">
        <f>P25*365</f>
        <v>114924.75335869986</v>
      </c>
      <c r="R25" s="64">
        <f t="shared" si="18"/>
        <v>5069.2836413015557</v>
      </c>
      <c r="S25" s="64">
        <f t="shared" si="22"/>
        <v>1700886.3497087581</v>
      </c>
      <c r="T25" s="50">
        <f t="shared" si="12"/>
        <v>4.2440069633177018</v>
      </c>
      <c r="U25" s="51">
        <f t="shared" si="19"/>
        <v>9349.5473401888976</v>
      </c>
      <c r="V25" s="50">
        <f t="shared" si="13"/>
        <v>3.4887871555319604E-2</v>
      </c>
      <c r="W25" s="51">
        <f t="shared" si="20"/>
        <v>14518.47261777012</v>
      </c>
      <c r="X25" s="50">
        <f t="shared" si="14"/>
        <v>2.8443876456278212</v>
      </c>
      <c r="Y25" s="51">
        <f t="shared" si="21"/>
        <v>26004.671830770072</v>
      </c>
    </row>
    <row r="26" spans="1:25" x14ac:dyDescent="0.35">
      <c r="A26" s="66">
        <v>20</v>
      </c>
      <c r="B26" s="66">
        <v>2041</v>
      </c>
      <c r="C26" s="43">
        <f t="shared" si="2"/>
        <v>5974.6361268044229</v>
      </c>
      <c r="D26" s="44">
        <f t="shared" ref="D26" si="23">$D$4*1.01^(B26-$B$4)</f>
        <v>1320.6435271957275</v>
      </c>
      <c r="E26" s="45">
        <v>8.6</v>
      </c>
      <c r="F26" s="44">
        <f t="shared" ref="F26" si="24">D26*E26</f>
        <v>11357.534333883255</v>
      </c>
      <c r="G26" s="44">
        <f>E26*D26*365</f>
        <v>4145500.0318673882</v>
      </c>
      <c r="H26" s="44">
        <f t="shared" ref="H26" si="25">G26/20</f>
        <v>207275.00159336941</v>
      </c>
      <c r="I26" s="52">
        <f t="shared" si="6"/>
        <v>1616745.0124282814</v>
      </c>
      <c r="J26" s="68">
        <f t="shared" si="7"/>
        <v>1224.2099999999998</v>
      </c>
      <c r="K26" s="72">
        <f t="shared" si="8"/>
        <v>1492.327185731172</v>
      </c>
      <c r="L26" s="101">
        <v>60</v>
      </c>
      <c r="M26" s="101">
        <f t="shared" si="9"/>
        <v>70.272014353097774</v>
      </c>
      <c r="N26" s="101">
        <f t="shared" si="10"/>
        <v>38.907910545144368</v>
      </c>
      <c r="O26" s="76">
        <f t="shared" si="11"/>
        <v>58063.332646515482</v>
      </c>
      <c r="P26" s="44">
        <f t="shared" si="17"/>
        <v>318.01096134873114</v>
      </c>
      <c r="Q26" s="43">
        <f t="shared" ref="Q26" si="26">P26*365</f>
        <v>116074.00089228687</v>
      </c>
      <c r="R26" s="67">
        <f t="shared" si="18"/>
        <v>5119.976477714572</v>
      </c>
      <c r="S26" s="67">
        <f t="shared" si="22"/>
        <v>1717895.2132058458</v>
      </c>
      <c r="T26" s="46">
        <f t="shared" si="12"/>
        <v>4.2864470329508793</v>
      </c>
      <c r="U26" s="52">
        <f t="shared" si="19"/>
        <v>9443.042813590786</v>
      </c>
      <c r="V26" s="46">
        <f t="shared" si="13"/>
        <v>3.5236750270872801E-2</v>
      </c>
      <c r="W26" s="52">
        <f t="shared" si="20"/>
        <v>14663.657343947822</v>
      </c>
      <c r="X26" s="46">
        <f t="shared" si="14"/>
        <v>2.8728315220840996</v>
      </c>
      <c r="Y26" s="52">
        <f t="shared" si="21"/>
        <v>26264.718549077774</v>
      </c>
    </row>
    <row r="27" spans="1:25" x14ac:dyDescent="0.35">
      <c r="A27" s="53"/>
      <c r="B27" s="53"/>
      <c r="C27" s="47"/>
      <c r="D27" s="48"/>
      <c r="E27" s="53"/>
      <c r="F27" s="48"/>
      <c r="G27" s="48"/>
      <c r="H27" s="48"/>
      <c r="I27" s="48"/>
      <c r="J27" s="65"/>
      <c r="K27" s="65"/>
      <c r="L27" s="65"/>
      <c r="M27" s="65"/>
      <c r="N27" s="65"/>
      <c r="O27" s="64"/>
      <c r="P27" s="47"/>
      <c r="Q27" s="47"/>
      <c r="R27" s="71"/>
      <c r="S27" s="71"/>
      <c r="T27" s="50"/>
      <c r="U27" s="50"/>
      <c r="V27" s="50"/>
      <c r="W27" s="50"/>
      <c r="X27" s="50"/>
      <c r="Y27" s="50"/>
    </row>
    <row r="28" spans="1:25" x14ac:dyDescent="0.35">
      <c r="A28" s="66"/>
      <c r="B28" s="66"/>
      <c r="C28" s="94"/>
      <c r="D28" s="94"/>
      <c r="E28" s="94"/>
      <c r="F28" s="94"/>
      <c r="G28" s="94"/>
      <c r="H28" s="94"/>
      <c r="I28" s="95"/>
      <c r="J28" s="94"/>
      <c r="K28" s="94"/>
      <c r="L28" s="137"/>
      <c r="M28" s="137"/>
      <c r="N28" s="137"/>
      <c r="O28" s="138"/>
      <c r="P28" s="94"/>
      <c r="Q28" s="94"/>
      <c r="R28" s="94"/>
      <c r="S28" s="94"/>
      <c r="T28" s="94"/>
      <c r="U28" s="94"/>
      <c r="V28" s="94"/>
      <c r="W28" s="94"/>
      <c r="X28" s="94"/>
      <c r="Y28" s="94"/>
    </row>
    <row r="29" spans="1:25" ht="15" thickBot="1" x14ac:dyDescent="0.4">
      <c r="A29" s="54"/>
      <c r="B29" s="54"/>
      <c r="C29" s="54"/>
      <c r="D29" s="54"/>
      <c r="E29" s="54"/>
      <c r="F29" s="55"/>
      <c r="G29" s="56">
        <f>SUM(G4:G28)</f>
        <v>75607409.41516389</v>
      </c>
      <c r="H29" s="56">
        <f>SUM(H4:H28)</f>
        <v>3780370.4707581941</v>
      </c>
      <c r="I29" s="58">
        <f>SUM(I4:I28)</f>
        <v>29486889.671913914</v>
      </c>
      <c r="J29" s="54"/>
      <c r="K29" s="56">
        <f>SUM(K4:K28)</f>
        <v>27199.167965848341</v>
      </c>
      <c r="L29" s="54"/>
      <c r="M29" s="54"/>
      <c r="N29" s="54"/>
      <c r="O29" s="58">
        <f>SUM(O4:O28)</f>
        <v>1160524.7486692159</v>
      </c>
      <c r="P29" s="73"/>
      <c r="Q29" s="73">
        <f>SUM(Q4:Q28)</f>
        <v>2116718.4315810567</v>
      </c>
      <c r="R29" s="58"/>
      <c r="S29" s="58">
        <f t="shared" ref="S29:Y29" si="27">SUM(S4:S28)</f>
        <v>31452335.596127756</v>
      </c>
      <c r="T29" s="56">
        <f t="shared" si="27"/>
        <v>78.178061335279452</v>
      </c>
      <c r="U29" s="74">
        <f t="shared" si="27"/>
        <v>172226.26912162063</v>
      </c>
      <c r="V29" s="56">
        <f t="shared" si="27"/>
        <v>0.6426629800288931</v>
      </c>
      <c r="W29" s="74">
        <f t="shared" si="27"/>
        <v>267442.07835118973</v>
      </c>
      <c r="X29" s="56">
        <f t="shared" si="27"/>
        <v>52.39593472470856</v>
      </c>
      <c r="Y29" s="74">
        <f t="shared" si="27"/>
        <v>479027.21342391183</v>
      </c>
    </row>
    <row r="30" spans="1:25" ht="15" thickTop="1" x14ac:dyDescent="0.35"/>
    <row r="31" spans="1:25" x14ac:dyDescent="0.35">
      <c r="A31" t="s">
        <v>53</v>
      </c>
      <c r="B31" s="20"/>
      <c r="S31" s="30"/>
    </row>
    <row r="32" spans="1:25" x14ac:dyDescent="0.35">
      <c r="A32" s="20" t="s">
        <v>52</v>
      </c>
    </row>
    <row r="33" spans="1:19" x14ac:dyDescent="0.35">
      <c r="A33" s="20" t="s">
        <v>95</v>
      </c>
    </row>
    <row r="34" spans="1:19" x14ac:dyDescent="0.35">
      <c r="A34" s="20" t="s">
        <v>225</v>
      </c>
    </row>
    <row r="35" spans="1:19" x14ac:dyDescent="0.35">
      <c r="A35" s="20" t="s">
        <v>141</v>
      </c>
    </row>
    <row r="36" spans="1:19" x14ac:dyDescent="0.35">
      <c r="A36" s="20" t="s">
        <v>46</v>
      </c>
    </row>
    <row r="37" spans="1:19" x14ac:dyDescent="0.35">
      <c r="A37" s="20" t="s">
        <v>47</v>
      </c>
    </row>
    <row r="38" spans="1:19" x14ac:dyDescent="0.35">
      <c r="A38" s="20" t="s">
        <v>48</v>
      </c>
    </row>
    <row r="39" spans="1:19" x14ac:dyDescent="0.35">
      <c r="A39" s="20" t="s">
        <v>228</v>
      </c>
    </row>
    <row r="40" spans="1:19" x14ac:dyDescent="0.35">
      <c r="A40" s="20" t="s">
        <v>49</v>
      </c>
    </row>
    <row r="41" spans="1:19" x14ac:dyDescent="0.35">
      <c r="A41" s="20" t="s">
        <v>99</v>
      </c>
    </row>
    <row r="42" spans="1:19" x14ac:dyDescent="0.35">
      <c r="A42" s="20" t="s">
        <v>107</v>
      </c>
    </row>
    <row r="43" spans="1:19" x14ac:dyDescent="0.35">
      <c r="A43" s="20" t="s">
        <v>50</v>
      </c>
    </row>
    <row r="44" spans="1:19" x14ac:dyDescent="0.35">
      <c r="A44" s="20" t="s">
        <v>79</v>
      </c>
    </row>
    <row r="45" spans="1:19" x14ac:dyDescent="0.35">
      <c r="A45" s="18" t="s">
        <v>54</v>
      </c>
    </row>
    <row r="46" spans="1:19" x14ac:dyDescent="0.35">
      <c r="A46" s="18" t="s">
        <v>227</v>
      </c>
    </row>
    <row r="47" spans="1:19" x14ac:dyDescent="0.35">
      <c r="A47" s="18" t="s">
        <v>51</v>
      </c>
      <c r="S47" s="32"/>
    </row>
    <row r="48" spans="1:19" x14ac:dyDescent="0.35">
      <c r="A48" s="18" t="s">
        <v>226</v>
      </c>
    </row>
    <row r="49" spans="1:21" x14ac:dyDescent="0.35">
      <c r="A49" s="18" t="s">
        <v>229</v>
      </c>
      <c r="M49" s="41"/>
    </row>
    <row r="50" spans="1:21" x14ac:dyDescent="0.35">
      <c r="A50" s="41" t="s">
        <v>191</v>
      </c>
      <c r="B50" s="29"/>
    </row>
    <row r="51" spans="1:21" x14ac:dyDescent="0.35">
      <c r="A51" s="41" t="s">
        <v>230</v>
      </c>
      <c r="B51" s="29"/>
    </row>
    <row r="52" spans="1:21" x14ac:dyDescent="0.35">
      <c r="A52" s="41" t="s">
        <v>192</v>
      </c>
      <c r="B52" s="29"/>
    </row>
    <row r="53" spans="1:21" x14ac:dyDescent="0.35">
      <c r="A53" s="41" t="s">
        <v>231</v>
      </c>
      <c r="B53" s="29"/>
    </row>
    <row r="54" spans="1:21" x14ac:dyDescent="0.35">
      <c r="A54" s="41" t="s">
        <v>193</v>
      </c>
      <c r="B54" s="29"/>
      <c r="F54" t="s">
        <v>190</v>
      </c>
    </row>
    <row r="55" spans="1:21" x14ac:dyDescent="0.35">
      <c r="A55" s="41" t="s">
        <v>232</v>
      </c>
      <c r="B55" s="29"/>
    </row>
    <row r="56" spans="1:21" x14ac:dyDescent="0.35">
      <c r="A56" s="41"/>
      <c r="B56" s="29"/>
    </row>
    <row r="57" spans="1:21" x14ac:dyDescent="0.35">
      <c r="A57" s="32" t="s">
        <v>218</v>
      </c>
      <c r="B57" s="29"/>
    </row>
    <row r="58" spans="1:21" x14ac:dyDescent="0.35">
      <c r="A58" s="18" t="s">
        <v>38</v>
      </c>
      <c r="B58" s="29"/>
    </row>
    <row r="59" spans="1:21" x14ac:dyDescent="0.35">
      <c r="A59" s="18"/>
      <c r="B59" s="29"/>
    </row>
    <row r="60" spans="1:21" x14ac:dyDescent="0.35">
      <c r="A60" s="146" t="s">
        <v>188</v>
      </c>
      <c r="B60" s="146"/>
      <c r="C60" s="146"/>
      <c r="D60" s="146"/>
      <c r="E60" s="146"/>
      <c r="F60" s="146"/>
      <c r="G60" s="146"/>
      <c r="I60" s="146" t="s">
        <v>189</v>
      </c>
      <c r="J60" s="146"/>
      <c r="K60" s="146"/>
      <c r="L60" s="146"/>
      <c r="M60" s="146"/>
      <c r="N60" s="146"/>
    </row>
    <row r="61" spans="1:21" ht="43.5" x14ac:dyDescent="0.35">
      <c r="A61" s="92" t="s">
        <v>44</v>
      </c>
      <c r="B61" s="92" t="s">
        <v>121</v>
      </c>
      <c r="C61" s="92" t="s">
        <v>122</v>
      </c>
      <c r="D61" s="92" t="s">
        <v>120</v>
      </c>
      <c r="E61" s="92" t="s">
        <v>124</v>
      </c>
      <c r="F61" s="92" t="s">
        <v>125</v>
      </c>
      <c r="G61" s="92" t="s">
        <v>126</v>
      </c>
      <c r="H61" s="59"/>
      <c r="I61" s="92" t="s">
        <v>127</v>
      </c>
      <c r="J61" s="92" t="s">
        <v>128</v>
      </c>
      <c r="K61" s="92" t="s">
        <v>129</v>
      </c>
      <c r="L61" s="102" t="s">
        <v>131</v>
      </c>
      <c r="M61" s="102" t="s">
        <v>132</v>
      </c>
      <c r="N61" s="102" t="s">
        <v>133</v>
      </c>
      <c r="R61" s="1"/>
      <c r="S61" s="1"/>
      <c r="T61"/>
      <c r="U61"/>
    </row>
    <row r="62" spans="1:21" x14ac:dyDescent="0.35">
      <c r="A62" s="53">
        <v>1</v>
      </c>
      <c r="B62" s="51">
        <f t="shared" ref="B62:B81" si="28">I7/(1.03^A7)</f>
        <v>1299266.3876017572</v>
      </c>
      <c r="C62" s="51">
        <f t="shared" ref="C62:C81" si="29">S7/(1.03^A7)</f>
        <v>1501818.6859765954</v>
      </c>
      <c r="D62" s="51">
        <f t="shared" ref="D62:D81" si="30">O7</f>
        <v>58993.093010428041</v>
      </c>
      <c r="E62" s="51">
        <f t="shared" ref="E62:E81" si="31">U7/(1.03^A7)</f>
        <v>7588.7218021815843</v>
      </c>
      <c r="F62" s="51">
        <f t="shared" ref="F62:F81" si="32">W7/(1.03^A7)</f>
        <v>11784.1694020047</v>
      </c>
      <c r="G62" s="51">
        <f t="shared" ref="G62:G81" si="33">Y7/(1.03^A7)</f>
        <v>21107.141650855046</v>
      </c>
      <c r="H62" s="59"/>
      <c r="I62" s="51">
        <f t="shared" ref="I62:I81" si="34">I7/(1.07^A7)</f>
        <v>1250695.6815231866</v>
      </c>
      <c r="J62" s="51">
        <f t="shared" ref="J62:J81" si="35">C62/(1.07/1.03)^A62</f>
        <v>1445675.931360648</v>
      </c>
      <c r="K62" s="51">
        <f t="shared" ref="K62:K81" si="36">D62/(1.07/1.03)^A62</f>
        <v>56787.74373901017</v>
      </c>
      <c r="L62" s="136">
        <f t="shared" ref="L62:L81" si="37">E62/(1.07/1.03)^A62</f>
        <v>7305.0312675205905</v>
      </c>
      <c r="M62" s="136">
        <f t="shared" ref="M62:M81" si="38">F62/(1.07/1.03)^A62</f>
        <v>11343.639704733496</v>
      </c>
      <c r="N62" s="136">
        <f t="shared" ref="N62:N81" si="39">G62/(1.07/1.03)^A62</f>
        <v>20318.089626524015</v>
      </c>
      <c r="R62" s="1"/>
      <c r="S62" s="1"/>
      <c r="T62"/>
      <c r="U62"/>
    </row>
    <row r="63" spans="1:21" x14ac:dyDescent="0.35">
      <c r="A63" s="66">
        <v>2</v>
      </c>
      <c r="B63" s="52">
        <f t="shared" si="28"/>
        <v>1277528.4288891226</v>
      </c>
      <c r="C63" s="52">
        <f t="shared" si="29"/>
        <v>1353746.9527816528</v>
      </c>
      <c r="D63" s="52">
        <f t="shared" si="30"/>
        <v>57847.596058769246</v>
      </c>
      <c r="E63" s="52">
        <f t="shared" si="31"/>
        <v>7461.7552903163842</v>
      </c>
      <c r="F63" s="52">
        <f t="shared" si="32"/>
        <v>11587.009073400872</v>
      </c>
      <c r="G63" s="52">
        <f t="shared" si="33"/>
        <v>20753.9991558853</v>
      </c>
      <c r="H63" s="59"/>
      <c r="I63" s="52">
        <f t="shared" si="34"/>
        <v>1183797.633163132</v>
      </c>
      <c r="J63" s="52">
        <f t="shared" si="35"/>
        <v>1254424.0913669802</v>
      </c>
      <c r="K63" s="52">
        <f t="shared" si="36"/>
        <v>53603.384277009609</v>
      </c>
      <c r="L63" s="136">
        <f t="shared" si="37"/>
        <v>6914.294861993757</v>
      </c>
      <c r="M63" s="136">
        <f t="shared" si="38"/>
        <v>10736.883505957712</v>
      </c>
      <c r="N63" s="136">
        <f t="shared" si="39"/>
        <v>19231.302039024122</v>
      </c>
      <c r="R63" s="1"/>
      <c r="S63" s="1"/>
      <c r="T63"/>
      <c r="U63"/>
    </row>
    <row r="64" spans="1:21" x14ac:dyDescent="0.35">
      <c r="A64" s="53">
        <v>3</v>
      </c>
      <c r="B64" s="51">
        <f t="shared" si="28"/>
        <v>1249299.3137831581</v>
      </c>
      <c r="C64" s="51">
        <f t="shared" si="29"/>
        <v>1327460.6041839507</v>
      </c>
      <c r="D64" s="51">
        <f t="shared" si="30"/>
        <v>56724.341766365942</v>
      </c>
      <c r="E64" s="51">
        <f t="shared" si="31"/>
        <v>7296.8753986289321</v>
      </c>
      <c r="F64" s="51">
        <f t="shared" si="32"/>
        <v>11330.974839273254</v>
      </c>
      <c r="G64" s="51">
        <f t="shared" si="33"/>
        <v>20295.405031612067</v>
      </c>
      <c r="H64" s="59"/>
      <c r="I64" s="51">
        <f t="shared" si="34"/>
        <v>1114363.4070414908</v>
      </c>
      <c r="J64" s="51">
        <f t="shared" si="35"/>
        <v>1184082.5535333175</v>
      </c>
      <c r="K64" s="51">
        <f t="shared" si="36"/>
        <v>50597.587027831476</v>
      </c>
      <c r="L64" s="136">
        <f t="shared" si="37"/>
        <v>6508.7452144272465</v>
      </c>
      <c r="M64" s="136">
        <f t="shared" si="38"/>
        <v>10107.124519869543</v>
      </c>
      <c r="N64" s="136">
        <f t="shared" si="39"/>
        <v>18103.313152255356</v>
      </c>
      <c r="R64" s="1"/>
      <c r="S64" s="1"/>
      <c r="T64"/>
      <c r="U64"/>
    </row>
    <row r="65" spans="1:21" x14ac:dyDescent="0.35">
      <c r="A65" s="66">
        <v>4</v>
      </c>
      <c r="B65" s="52">
        <f t="shared" si="28"/>
        <v>1225041.0746805728</v>
      </c>
      <c r="C65" s="52">
        <f t="shared" si="29"/>
        <v>1305250.9294923241</v>
      </c>
      <c r="D65" s="52">
        <f t="shared" si="30"/>
        <v>60920.31711662883</v>
      </c>
      <c r="E65" s="52">
        <f t="shared" si="31"/>
        <v>7155.1884976846823</v>
      </c>
      <c r="F65" s="52">
        <f t="shared" si="32"/>
        <v>11110.955910355329</v>
      </c>
      <c r="G65" s="52">
        <f t="shared" si="33"/>
        <v>19901.319497017659</v>
      </c>
      <c r="H65" s="59"/>
      <c r="I65" s="52">
        <f t="shared" si="34"/>
        <v>1051875.7393569215</v>
      </c>
      <c r="J65" s="52">
        <f t="shared" si="35"/>
        <v>1120747.5527822974</v>
      </c>
      <c r="K65" s="52">
        <f t="shared" si="36"/>
        <v>52308.942886360746</v>
      </c>
      <c r="L65" s="136">
        <f t="shared" si="37"/>
        <v>6143.7688472631035</v>
      </c>
      <c r="M65" s="136">
        <f t="shared" si="38"/>
        <v>9540.3698738955536</v>
      </c>
      <c r="N65" s="136">
        <f t="shared" si="39"/>
        <v>17088.174096988703</v>
      </c>
      <c r="R65" s="1"/>
      <c r="S65" s="1"/>
      <c r="T65"/>
      <c r="U65"/>
    </row>
    <row r="66" spans="1:21" x14ac:dyDescent="0.35">
      <c r="A66" s="53">
        <v>5</v>
      </c>
      <c r="B66" s="51">
        <f t="shared" si="28"/>
        <v>1201253.8693469693</v>
      </c>
      <c r="C66" s="51">
        <f t="shared" si="29"/>
        <v>1276409.239634318</v>
      </c>
      <c r="D66" s="51">
        <f t="shared" si="30"/>
        <v>59737.398337665138</v>
      </c>
      <c r="E66" s="51">
        <f t="shared" si="31"/>
        <v>7016.2527987005114</v>
      </c>
      <c r="F66" s="51">
        <f t="shared" si="32"/>
        <v>10895.209193649398</v>
      </c>
      <c r="G66" s="51">
        <f t="shared" si="33"/>
        <v>19514.886108726048</v>
      </c>
      <c r="H66" s="59"/>
      <c r="I66" s="51">
        <f t="shared" si="34"/>
        <v>992892.05303784134</v>
      </c>
      <c r="J66" s="51">
        <f t="shared" si="35"/>
        <v>1055011.4532791835</v>
      </c>
      <c r="K66" s="51">
        <f t="shared" si="36"/>
        <v>49375.731135723669</v>
      </c>
      <c r="L66" s="136">
        <f t="shared" si="37"/>
        <v>5799.258444612834</v>
      </c>
      <c r="M66" s="136">
        <f t="shared" si="38"/>
        <v>9005.3958622752398</v>
      </c>
      <c r="N66" s="136">
        <f t="shared" si="39"/>
        <v>16129.958727064097</v>
      </c>
      <c r="R66" s="1"/>
      <c r="S66" s="1"/>
      <c r="T66"/>
      <c r="U66"/>
    </row>
    <row r="67" spans="1:21" x14ac:dyDescent="0.35">
      <c r="A67" s="66">
        <v>6</v>
      </c>
      <c r="B67" s="52">
        <f t="shared" si="28"/>
        <v>1181155.7530065188</v>
      </c>
      <c r="C67" s="52">
        <f t="shared" si="29"/>
        <v>1251624.5942045259</v>
      </c>
      <c r="D67" s="52">
        <f t="shared" si="30"/>
        <v>58577.448855380397</v>
      </c>
      <c r="E67" s="52">
        <f t="shared" si="31"/>
        <v>6898.8642361155253</v>
      </c>
      <c r="F67" s="52">
        <f t="shared" si="32"/>
        <v>10712.922012300671</v>
      </c>
      <c r="G67" s="52">
        <f t="shared" si="33"/>
        <v>19188.383558855363</v>
      </c>
      <c r="H67" s="59"/>
      <c r="I67" s="52">
        <f t="shared" si="34"/>
        <v>939783.57784142508</v>
      </c>
      <c r="J67" s="52">
        <f t="shared" si="35"/>
        <v>995851.93253455672</v>
      </c>
      <c r="K67" s="52">
        <f t="shared" si="36"/>
        <v>46606.998548673764</v>
      </c>
      <c r="L67" s="136">
        <f t="shared" si="37"/>
        <v>5489.0638244413794</v>
      </c>
      <c r="M67" s="136">
        <f t="shared" si="38"/>
        <v>8523.7092163581237</v>
      </c>
      <c r="N67" s="136">
        <f t="shared" si="39"/>
        <v>15267.188690427645</v>
      </c>
      <c r="R67" s="1"/>
      <c r="S67" s="1"/>
      <c r="T67"/>
      <c r="U67"/>
    </row>
    <row r="68" spans="1:21" x14ac:dyDescent="0.35">
      <c r="A68" s="53">
        <v>7</v>
      </c>
      <c r="B68" s="51">
        <f t="shared" si="28"/>
        <v>1155056.1524374057</v>
      </c>
      <c r="C68" s="51">
        <f t="shared" si="29"/>
        <v>1227321.2040257971</v>
      </c>
      <c r="D68" s="51">
        <f t="shared" si="30"/>
        <v>57440.022664013784</v>
      </c>
      <c r="E68" s="51">
        <f t="shared" si="31"/>
        <v>6746.4223583319754</v>
      </c>
      <c r="F68" s="51">
        <f t="shared" si="32"/>
        <v>10476.202185353712</v>
      </c>
      <c r="G68" s="51">
        <f t="shared" si="33"/>
        <v>18764.384314743569</v>
      </c>
      <c r="H68" s="59"/>
      <c r="I68" s="51">
        <f t="shared" si="34"/>
        <v>884661.70259752159</v>
      </c>
      <c r="J68" s="51">
        <f t="shared" si="35"/>
        <v>940009.76809336653</v>
      </c>
      <c r="K68" s="51">
        <f t="shared" si="36"/>
        <v>43993.52199454252</v>
      </c>
      <c r="L68" s="136">
        <f t="shared" si="37"/>
        <v>5167.1093888982032</v>
      </c>
      <c r="M68" s="136">
        <f t="shared" si="38"/>
        <v>8023.7613058843335</v>
      </c>
      <c r="N68" s="136">
        <f t="shared" si="39"/>
        <v>14371.710103483356</v>
      </c>
      <c r="R68" s="1"/>
      <c r="S68" s="1"/>
      <c r="T68"/>
      <c r="U68"/>
    </row>
    <row r="69" spans="1:21" x14ac:dyDescent="0.35">
      <c r="A69" s="66">
        <v>8</v>
      </c>
      <c r="B69" s="52">
        <f t="shared" si="28"/>
        <v>1132627.8776327958</v>
      </c>
      <c r="C69" s="52">
        <f t="shared" si="29"/>
        <v>1206786.9564574442</v>
      </c>
      <c r="D69" s="52">
        <f t="shared" si="30"/>
        <v>56324.682418110606</v>
      </c>
      <c r="E69" s="52">
        <f t="shared" si="31"/>
        <v>6615.4238659371822</v>
      </c>
      <c r="F69" s="52">
        <f t="shared" si="32"/>
        <v>10272.78078369636</v>
      </c>
      <c r="G69" s="52">
        <f t="shared" si="33"/>
        <v>18400.027337758256</v>
      </c>
      <c r="H69" s="59"/>
      <c r="I69" s="52">
        <f t="shared" si="34"/>
        <v>835054.50432102487</v>
      </c>
      <c r="J69" s="52">
        <f t="shared" si="35"/>
        <v>889729.89597591583</v>
      </c>
      <c r="K69" s="52">
        <f t="shared" si="36"/>
        <v>41526.595527558835</v>
      </c>
      <c r="L69" s="136">
        <f t="shared" si="37"/>
        <v>4877.3649371842876</v>
      </c>
      <c r="M69" s="136">
        <f t="shared" si="38"/>
        <v>7573.8307653674574</v>
      </c>
      <c r="N69" s="136">
        <f t="shared" si="39"/>
        <v>13565.819817306721</v>
      </c>
      <c r="R69" s="1"/>
      <c r="S69" s="1"/>
      <c r="T69"/>
      <c r="U69"/>
    </row>
    <row r="70" spans="1:21" x14ac:dyDescent="0.35">
      <c r="A70" s="53">
        <v>9</v>
      </c>
      <c r="B70" s="51">
        <f t="shared" si="28"/>
        <v>1110635.1033098288</v>
      </c>
      <c r="C70" s="51">
        <f t="shared" si="29"/>
        <v>1180120.9918245978</v>
      </c>
      <c r="D70" s="51">
        <f t="shared" si="30"/>
        <v>60033.694852566179</v>
      </c>
      <c r="E70" s="51">
        <f t="shared" si="31"/>
        <v>6486.9690335888863</v>
      </c>
      <c r="F70" s="51">
        <f t="shared" si="32"/>
        <v>10073.309312168274</v>
      </c>
      <c r="G70" s="51">
        <f t="shared" si="33"/>
        <v>18042.745253529934</v>
      </c>
      <c r="H70" s="59"/>
      <c r="I70" s="51">
        <f t="shared" si="34"/>
        <v>788229.01809741592</v>
      </c>
      <c r="J70" s="51">
        <f t="shared" si="35"/>
        <v>837543.85922966502</v>
      </c>
      <c r="K70" s="51">
        <f t="shared" si="36"/>
        <v>42606.523245463657</v>
      </c>
      <c r="L70" s="136">
        <f t="shared" si="37"/>
        <v>4603.8678379029243</v>
      </c>
      <c r="M70" s="136">
        <f t="shared" si="38"/>
        <v>7149.129974786104</v>
      </c>
      <c r="N70" s="136">
        <f t="shared" si="39"/>
        <v>12805.119640635312</v>
      </c>
      <c r="R70" s="1"/>
      <c r="S70" s="1"/>
      <c r="T70"/>
      <c r="U70"/>
    </row>
    <row r="71" spans="1:21" x14ac:dyDescent="0.35">
      <c r="A71" s="66">
        <v>10</v>
      </c>
      <c r="B71" s="52">
        <f t="shared" si="28"/>
        <v>1092053.1248557291</v>
      </c>
      <c r="C71" s="52">
        <f t="shared" si="29"/>
        <v>1157206.0211095568</v>
      </c>
      <c r="D71" s="52">
        <f t="shared" si="30"/>
        <v>58867.992039894983</v>
      </c>
      <c r="E71" s="52">
        <f t="shared" si="31"/>
        <v>6378.4358902951662</v>
      </c>
      <c r="F71" s="52">
        <f t="shared" si="32"/>
        <v>9904.7732952151218</v>
      </c>
      <c r="G71" s="52">
        <f t="shared" si="33"/>
        <v>17740.873016145437</v>
      </c>
      <c r="H71" s="59"/>
      <c r="I71" s="52">
        <f t="shared" si="34"/>
        <v>746067.6964022296</v>
      </c>
      <c r="J71" s="52">
        <f t="shared" si="35"/>
        <v>790578.78301117895</v>
      </c>
      <c r="K71" s="52">
        <f t="shared" si="36"/>
        <v>40217.372409269432</v>
      </c>
      <c r="L71" s="136">
        <f t="shared" si="37"/>
        <v>4357.6130712052109</v>
      </c>
      <c r="M71" s="136">
        <f t="shared" si="38"/>
        <v>6766.7325220315752</v>
      </c>
      <c r="N71" s="136">
        <f t="shared" si="39"/>
        <v>12120.190824112791</v>
      </c>
      <c r="R71" s="1"/>
      <c r="S71" s="1"/>
      <c r="T71"/>
      <c r="U71"/>
    </row>
    <row r="72" spans="1:21" x14ac:dyDescent="0.35">
      <c r="A72" s="53">
        <v>11</v>
      </c>
      <c r="B72" s="51">
        <f t="shared" si="28"/>
        <v>1067922.395029085</v>
      </c>
      <c r="C72" s="51">
        <f t="shared" si="29"/>
        <v>1134736.0012821869</v>
      </c>
      <c r="D72" s="51">
        <f t="shared" si="30"/>
        <v>57724.924233295089</v>
      </c>
      <c r="E72" s="51">
        <f t="shared" si="31"/>
        <v>6237.4937422603671</v>
      </c>
      <c r="F72" s="51">
        <f t="shared" si="32"/>
        <v>9685.9108580854518</v>
      </c>
      <c r="G72" s="51">
        <f t="shared" si="33"/>
        <v>17348.858924616728</v>
      </c>
      <c r="H72" s="59"/>
      <c r="I72" s="51">
        <f t="shared" si="34"/>
        <v>702307.99315326568</v>
      </c>
      <c r="J72" s="51">
        <f t="shared" si="35"/>
        <v>746247.26246849622</v>
      </c>
      <c r="K72" s="51">
        <f t="shared" si="36"/>
        <v>37962.19264800199</v>
      </c>
      <c r="L72" s="136">
        <f t="shared" si="37"/>
        <v>4102.0225185123363</v>
      </c>
      <c r="M72" s="136">
        <f t="shared" si="38"/>
        <v>6369.8379660051569</v>
      </c>
      <c r="N72" s="136">
        <f t="shared" si="39"/>
        <v>11409.295611330321</v>
      </c>
      <c r="R72" s="1"/>
      <c r="S72" s="1"/>
      <c r="T72"/>
      <c r="U72"/>
    </row>
    <row r="73" spans="1:21" x14ac:dyDescent="0.35">
      <c r="A73" s="66">
        <v>12</v>
      </c>
      <c r="B73" s="52">
        <f t="shared" si="28"/>
        <v>1047186.0378440545</v>
      </c>
      <c r="C73" s="52">
        <f t="shared" si="29"/>
        <v>1115750.791950986</v>
      </c>
      <c r="D73" s="52">
        <f t="shared" si="30"/>
        <v>56604.051918085483</v>
      </c>
      <c r="E73" s="52">
        <f t="shared" si="31"/>
        <v>6116.3773589155062</v>
      </c>
      <c r="F73" s="52">
        <f t="shared" si="32"/>
        <v>9497.8349190935023</v>
      </c>
      <c r="G73" s="52">
        <f t="shared" si="33"/>
        <v>17011.987877536798</v>
      </c>
      <c r="H73" s="59"/>
      <c r="I73" s="52">
        <f t="shared" si="34"/>
        <v>662926.23652784911</v>
      </c>
      <c r="J73" s="52">
        <f t="shared" si="35"/>
        <v>706331.48903880233</v>
      </c>
      <c r="K73" s="52">
        <f t="shared" si="36"/>
        <v>35833.471564936459</v>
      </c>
      <c r="L73" s="136">
        <f t="shared" si="37"/>
        <v>3872.0025642032338</v>
      </c>
      <c r="M73" s="136">
        <f t="shared" si="38"/>
        <v>6012.6507903413167</v>
      </c>
      <c r="N73" s="136">
        <f t="shared" si="39"/>
        <v>10769.52202564825</v>
      </c>
      <c r="R73" s="1"/>
      <c r="S73" s="1"/>
      <c r="T73"/>
      <c r="U73"/>
    </row>
    <row r="74" spans="1:21" x14ac:dyDescent="0.35">
      <c r="A74" s="53">
        <v>13</v>
      </c>
      <c r="B74" s="51">
        <f t="shared" si="28"/>
        <v>1026852.3283713543</v>
      </c>
      <c r="C74" s="51">
        <f t="shared" si="29"/>
        <v>1091096.4227617672</v>
      </c>
      <c r="D74" s="51">
        <f t="shared" si="30"/>
        <v>55504.944113850812</v>
      </c>
      <c r="E74" s="51">
        <f t="shared" si="31"/>
        <v>5997.612750004525</v>
      </c>
      <c r="F74" s="51">
        <f t="shared" si="32"/>
        <v>9313.410940081978</v>
      </c>
      <c r="G74" s="51">
        <f t="shared" si="33"/>
        <v>16681.658015837049</v>
      </c>
      <c r="H74" s="59"/>
      <c r="I74" s="51">
        <f t="shared" si="34"/>
        <v>625752.80270385742</v>
      </c>
      <c r="J74" s="51">
        <f t="shared" si="35"/>
        <v>664902.4652319965</v>
      </c>
      <c r="K74" s="51">
        <f t="shared" si="36"/>
        <v>33824.118019239089</v>
      </c>
      <c r="L74" s="136">
        <f t="shared" si="37"/>
        <v>3654.8809250890336</v>
      </c>
      <c r="M74" s="136">
        <f t="shared" si="38"/>
        <v>5675.4928020978787</v>
      </c>
      <c r="N74" s="136">
        <f t="shared" si="39"/>
        <v>10165.623594303484</v>
      </c>
      <c r="R74" s="1"/>
      <c r="S74" s="1"/>
      <c r="T74"/>
      <c r="U74"/>
    </row>
    <row r="75" spans="1:21" x14ac:dyDescent="0.35">
      <c r="A75" s="66">
        <v>14</v>
      </c>
      <c r="B75" s="52">
        <f t="shared" si="28"/>
        <v>1009672.1151901979</v>
      </c>
      <c r="C75" s="52">
        <f t="shared" si="29"/>
        <v>1069910.0844557139</v>
      </c>
      <c r="D75" s="52">
        <f t="shared" si="30"/>
        <v>59869.896029600248</v>
      </c>
      <c r="E75" s="52">
        <f t="shared" si="31"/>
        <v>5897.2670013743127</v>
      </c>
      <c r="F75" s="52">
        <f t="shared" si="32"/>
        <v>9157.5887434783999</v>
      </c>
      <c r="G75" s="52">
        <f t="shared" si="33"/>
        <v>16402.55805860972</v>
      </c>
      <c r="H75" s="59"/>
      <c r="I75" s="52">
        <f t="shared" si="34"/>
        <v>592282.11764820898</v>
      </c>
      <c r="J75" s="52">
        <f t="shared" si="35"/>
        <v>627618.21484515583</v>
      </c>
      <c r="K75" s="52">
        <f t="shared" si="36"/>
        <v>35120.182354555727</v>
      </c>
      <c r="L75" s="136">
        <f t="shared" si="37"/>
        <v>3459.3862060386946</v>
      </c>
      <c r="M75" s="136">
        <f t="shared" si="38"/>
        <v>5371.918241514536</v>
      </c>
      <c r="N75" s="136">
        <f t="shared" si="39"/>
        <v>9621.877910306559</v>
      </c>
      <c r="R75" s="1"/>
      <c r="S75" s="1"/>
      <c r="T75"/>
      <c r="U75"/>
    </row>
    <row r="76" spans="1:21" x14ac:dyDescent="0.35">
      <c r="A76" s="53">
        <v>15</v>
      </c>
      <c r="B76" s="51">
        <f t="shared" si="28"/>
        <v>987361.73076785647</v>
      </c>
      <c r="C76" s="51">
        <f t="shared" si="29"/>
        <v>1049135.1313594866</v>
      </c>
      <c r="D76" s="51">
        <f t="shared" si="30"/>
        <v>58707.373776598302</v>
      </c>
      <c r="E76" s="51">
        <f t="shared" si="31"/>
        <v>5766.9570801014388</v>
      </c>
      <c r="F76" s="51">
        <f t="shared" si="32"/>
        <v>8955.2365915521077</v>
      </c>
      <c r="G76" s="51">
        <f t="shared" si="33"/>
        <v>16040.116261622567</v>
      </c>
      <c r="H76" s="59"/>
      <c r="I76" s="51">
        <f t="shared" si="34"/>
        <v>557542.52252441715</v>
      </c>
      <c r="J76" s="51">
        <f t="shared" si="35"/>
        <v>592424.67008748371</v>
      </c>
      <c r="K76" s="51">
        <f t="shared" si="36"/>
        <v>33150.826334674101</v>
      </c>
      <c r="L76" s="136">
        <f t="shared" si="37"/>
        <v>3256.4800695985004</v>
      </c>
      <c r="M76" s="136">
        <f t="shared" si="38"/>
        <v>5056.8348392174421</v>
      </c>
      <c r="N76" s="136">
        <f t="shared" si="39"/>
        <v>9057.5182361332772</v>
      </c>
      <c r="R76" s="1"/>
      <c r="S76" s="1"/>
      <c r="T76"/>
      <c r="U76"/>
    </row>
    <row r="77" spans="1:21" x14ac:dyDescent="0.35">
      <c r="A77" s="66">
        <v>16</v>
      </c>
      <c r="B77" s="52">
        <f t="shared" si="28"/>
        <v>968189.65832576214</v>
      </c>
      <c r="C77" s="52">
        <f t="shared" si="29"/>
        <v>1031582.1057543495</v>
      </c>
      <c r="D77" s="52">
        <f t="shared" si="30"/>
        <v>57567.424771227466</v>
      </c>
      <c r="E77" s="52">
        <f t="shared" si="31"/>
        <v>5654.9773309732564</v>
      </c>
      <c r="F77" s="52">
        <f t="shared" si="32"/>
        <v>8781.3485023957546</v>
      </c>
      <c r="G77" s="52">
        <f t="shared" si="33"/>
        <v>15728.657693435724</v>
      </c>
      <c r="H77" s="59"/>
      <c r="I77" s="52">
        <f t="shared" si="34"/>
        <v>526278.45584080496</v>
      </c>
      <c r="J77" s="52">
        <f t="shared" si="35"/>
        <v>560736.66251322278</v>
      </c>
      <c r="K77" s="52">
        <f t="shared" si="36"/>
        <v>31291.901493477428</v>
      </c>
      <c r="L77" s="136">
        <f t="shared" si="37"/>
        <v>3073.8737105555947</v>
      </c>
      <c r="M77" s="136">
        <f t="shared" si="38"/>
        <v>4773.2740071117905</v>
      </c>
      <c r="N77" s="136">
        <f t="shared" si="39"/>
        <v>8549.6200172846839</v>
      </c>
      <c r="R77" s="1"/>
      <c r="S77" s="1"/>
      <c r="T77"/>
      <c r="U77"/>
    </row>
    <row r="78" spans="1:21" x14ac:dyDescent="0.35">
      <c r="A78" s="53">
        <v>17</v>
      </c>
      <c r="B78" s="51">
        <f t="shared" si="28"/>
        <v>949389.85913497047</v>
      </c>
      <c r="C78" s="51">
        <f t="shared" si="29"/>
        <v>1008787.5836552097</v>
      </c>
      <c r="D78" s="51">
        <f t="shared" si="30"/>
        <v>56449.610697999735</v>
      </c>
      <c r="E78" s="51">
        <f t="shared" si="31"/>
        <v>5545.171945905814</v>
      </c>
      <c r="F78" s="51">
        <f t="shared" si="32"/>
        <v>8610.8368809900094</v>
      </c>
      <c r="G78" s="51">
        <f t="shared" si="33"/>
        <v>15423.246864436971</v>
      </c>
      <c r="H78" s="59"/>
      <c r="I78" s="51">
        <f t="shared" si="34"/>
        <v>496767.51439178782</v>
      </c>
      <c r="J78" s="51">
        <f t="shared" si="35"/>
        <v>527847.32811271038</v>
      </c>
      <c r="K78" s="51">
        <f t="shared" si="36"/>
        <v>29537.215428422613</v>
      </c>
      <c r="L78" s="136">
        <f t="shared" si="37"/>
        <v>2901.506960430982</v>
      </c>
      <c r="M78" s="136">
        <f t="shared" si="38"/>
        <v>4505.6137824139323</v>
      </c>
      <c r="N78" s="136">
        <f t="shared" si="39"/>
        <v>8070.2020723902169</v>
      </c>
      <c r="R78" s="1"/>
      <c r="S78" s="1"/>
      <c r="T78"/>
      <c r="U78"/>
    </row>
    <row r="79" spans="1:21" x14ac:dyDescent="0.35">
      <c r="A79" s="66">
        <v>18</v>
      </c>
      <c r="B79" s="52">
        <f t="shared" si="28"/>
        <v>933505.66651904036</v>
      </c>
      <c r="C79" s="52">
        <f t="shared" si="29"/>
        <v>989199.47523472004</v>
      </c>
      <c r="D79" s="52">
        <f t="shared" si="30"/>
        <v>55353.501752407508</v>
      </c>
      <c r="E79" s="52">
        <f t="shared" si="31"/>
        <v>5452.3959609616795</v>
      </c>
      <c r="F79" s="52">
        <f t="shared" si="32"/>
        <v>8466.7694146210088</v>
      </c>
      <c r="G79" s="52">
        <f t="shared" si="33"/>
        <v>15165.201319079051</v>
      </c>
      <c r="H79" s="59"/>
      <c r="I79" s="52">
        <f t="shared" si="34"/>
        <v>470196.08083489514</v>
      </c>
      <c r="J79" s="52">
        <f t="shared" si="35"/>
        <v>498248.412517605</v>
      </c>
      <c r="K79" s="52">
        <f t="shared" si="36"/>
        <v>27880.922974492376</v>
      </c>
      <c r="L79" s="136">
        <f t="shared" si="37"/>
        <v>2746.3092126306924</v>
      </c>
      <c r="M79" s="136">
        <f t="shared" si="38"/>
        <v>4264.6144944491998</v>
      </c>
      <c r="N79" s="136">
        <f t="shared" si="39"/>
        <v>7638.5376983222814</v>
      </c>
      <c r="R79" s="1"/>
      <c r="S79" s="1"/>
      <c r="T79"/>
      <c r="U79"/>
    </row>
    <row r="80" spans="1:21" x14ac:dyDescent="0.35">
      <c r="A80" s="53">
        <v>19</v>
      </c>
      <c r="B80" s="51">
        <f t="shared" si="28"/>
        <v>912878.30644130765</v>
      </c>
      <c r="C80" s="51">
        <f t="shared" si="29"/>
        <v>969991.71843404602</v>
      </c>
      <c r="D80" s="51">
        <f t="shared" si="30"/>
        <v>59213.101609812802</v>
      </c>
      <c r="E80" s="51">
        <f t="shared" si="31"/>
        <v>5331.9162051263274</v>
      </c>
      <c r="F80" s="51">
        <f t="shared" si="32"/>
        <v>8279.6820645658499</v>
      </c>
      <c r="G80" s="51">
        <f t="shared" si="33"/>
        <v>14830.100976917853</v>
      </c>
      <c r="H80" s="59"/>
      <c r="I80" s="51">
        <f t="shared" si="34"/>
        <v>442617.29533676535</v>
      </c>
      <c r="J80" s="51">
        <f t="shared" si="35"/>
        <v>470309.2491988609</v>
      </c>
      <c r="K80" s="51">
        <f t="shared" si="36"/>
        <v>28710.007345016791</v>
      </c>
      <c r="L80" s="136">
        <f t="shared" si="37"/>
        <v>2585.2277494415625</v>
      </c>
      <c r="M80" s="136">
        <f t="shared" si="38"/>
        <v>4014.4786614031386</v>
      </c>
      <c r="N80" s="136">
        <f t="shared" si="39"/>
        <v>7190.508458420175</v>
      </c>
      <c r="R80" s="1"/>
      <c r="S80" s="1"/>
      <c r="T80"/>
      <c r="U80"/>
    </row>
    <row r="81" spans="1:21" x14ac:dyDescent="0.35">
      <c r="A81" s="66">
        <v>20</v>
      </c>
      <c r="B81" s="52">
        <f t="shared" si="28"/>
        <v>895152.51408322423</v>
      </c>
      <c r="C81" s="52">
        <f t="shared" si="29"/>
        <v>951156.92778484139</v>
      </c>
      <c r="D81" s="52">
        <f t="shared" si="30"/>
        <v>58063.332646515482</v>
      </c>
      <c r="E81" s="52">
        <f t="shared" si="31"/>
        <v>5228.3838516287287</v>
      </c>
      <c r="F81" s="52">
        <f t="shared" si="32"/>
        <v>8118.9115390402994</v>
      </c>
      <c r="G81" s="52">
        <f t="shared" si="33"/>
        <v>14542.137851152458</v>
      </c>
      <c r="H81" s="59"/>
      <c r="I81" s="52">
        <f t="shared" si="34"/>
        <v>417797.63391601224</v>
      </c>
      <c r="J81" s="52">
        <f t="shared" si="35"/>
        <v>443936.76793537341</v>
      </c>
      <c r="K81" s="52">
        <f t="shared" si="36"/>
        <v>27100.100391090622</v>
      </c>
      <c r="L81" s="136">
        <f t="shared" si="37"/>
        <v>2440.261707416802</v>
      </c>
      <c r="M81" s="136">
        <f t="shared" si="38"/>
        <v>3789.3677084272613</v>
      </c>
      <c r="N81" s="136">
        <f t="shared" si="39"/>
        <v>6787.3023766396045</v>
      </c>
      <c r="R81" s="1"/>
      <c r="S81" s="1"/>
      <c r="T81"/>
      <c r="U81"/>
    </row>
    <row r="82" spans="1:21" x14ac:dyDescent="0.35">
      <c r="A82" s="53"/>
      <c r="B82" s="61"/>
      <c r="C82" s="61"/>
      <c r="D82" s="61"/>
      <c r="E82" s="61"/>
      <c r="F82" s="61"/>
      <c r="G82" s="61"/>
      <c r="H82" s="59"/>
      <c r="I82" s="61"/>
      <c r="J82" s="61"/>
      <c r="K82" s="61"/>
      <c r="L82" s="139"/>
      <c r="M82" s="139"/>
      <c r="N82" s="139"/>
      <c r="R82" s="1"/>
      <c r="S82" s="1"/>
      <c r="T82"/>
      <c r="U82"/>
    </row>
    <row r="83" spans="1:21" x14ac:dyDescent="0.35">
      <c r="A83" s="66"/>
      <c r="B83" s="96"/>
      <c r="C83" s="96"/>
      <c r="D83" s="96"/>
      <c r="E83" s="96"/>
      <c r="F83" s="96"/>
      <c r="G83" s="96"/>
      <c r="H83" s="59"/>
      <c r="I83" s="96"/>
      <c r="J83" s="96"/>
      <c r="K83" s="96"/>
      <c r="L83" s="140"/>
      <c r="M83" s="140"/>
      <c r="N83" s="140"/>
      <c r="R83" s="1"/>
      <c r="S83" s="1"/>
      <c r="T83"/>
      <c r="U83"/>
    </row>
    <row r="84" spans="1:21" ht="15" thickBot="1" x14ac:dyDescent="0.4">
      <c r="A84" s="54"/>
      <c r="B84" s="62">
        <f t="shared" ref="B84:G84" si="40">SUM(B62:B81)</f>
        <v>21722027.697250713</v>
      </c>
      <c r="C84" s="62">
        <f>SUM(C62:C81)</f>
        <v>23199092.422364071</v>
      </c>
      <c r="D84" s="62">
        <f t="shared" si="40"/>
        <v>1160524.7486692159</v>
      </c>
      <c r="E84" s="62">
        <f t="shared" si="40"/>
        <v>126873.46239903278</v>
      </c>
      <c r="F84" s="62">
        <f t="shared" si="40"/>
        <v>197015.83646132206</v>
      </c>
      <c r="G84" s="62">
        <f t="shared" si="40"/>
        <v>352883.68876837351</v>
      </c>
      <c r="H84" s="59"/>
      <c r="I84" s="62">
        <f t="shared" ref="I84:N84" si="41">SUM(I62:I81)</f>
        <v>15281889.666260054</v>
      </c>
      <c r="J84" s="62">
        <f t="shared" si="41"/>
        <v>16352258.343116818</v>
      </c>
      <c r="K84" s="62">
        <f t="shared" si="41"/>
        <v>798035.33934535109</v>
      </c>
      <c r="L84" s="141">
        <f t="shared" si="41"/>
        <v>89258.069319366972</v>
      </c>
      <c r="M84" s="141">
        <f t="shared" si="41"/>
        <v>138604.66054414076</v>
      </c>
      <c r="N84" s="141">
        <f t="shared" si="41"/>
        <v>248260.87471860091</v>
      </c>
      <c r="R84" s="1"/>
      <c r="S84" s="1"/>
      <c r="T84"/>
      <c r="U84"/>
    </row>
    <row r="85" spans="1:21" ht="15" thickTop="1" x14ac:dyDescent="0.35"/>
  </sheetData>
  <mergeCells count="2">
    <mergeCell ref="A60:G60"/>
    <mergeCell ref="I60:N60"/>
  </mergeCells>
  <hyperlinks>
    <hyperlink ref="A57" r:id="rId1" xr:uid="{00000000-0004-0000-0000-000000000000}"/>
  </hyperlinks>
  <pageMargins left="0.7" right="0.7" top="0.75" bottom="0.75" header="0.3" footer="0.3"/>
  <pageSetup paperSize="17" scale="5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80"/>
  <sheetViews>
    <sheetView workbookViewId="0">
      <pane ySplit="3" topLeftCell="A4" activePane="bottomLeft" state="frozen"/>
      <selection pane="bottomLeft" activeCell="H9" sqref="H9"/>
    </sheetView>
  </sheetViews>
  <sheetFormatPr defaultRowHeight="14.5" x14ac:dyDescent="0.35"/>
  <cols>
    <col min="1" max="1" width="12.54296875" style="1" customWidth="1"/>
    <col min="2" max="3" width="12.54296875" customWidth="1"/>
    <col min="4" max="4" width="15.54296875" customWidth="1"/>
    <col min="5" max="5" width="14" bestFit="1" customWidth="1"/>
    <col min="6" max="6" width="11.1796875" bestFit="1" customWidth="1"/>
    <col min="7" max="7" width="10.81640625" customWidth="1"/>
    <col min="8" max="8" width="17.453125" customWidth="1"/>
    <col min="9" max="9" width="13.81640625" bestFit="1" customWidth="1"/>
    <col min="10" max="10" width="17.54296875" customWidth="1"/>
    <col min="11" max="11" width="10.54296875" bestFit="1" customWidth="1"/>
    <col min="19" max="19" width="10.81640625" customWidth="1"/>
    <col min="20" max="20" width="12" customWidth="1"/>
    <col min="21" max="21" width="11.54296875" customWidth="1"/>
  </cols>
  <sheetData>
    <row r="1" spans="1:17" ht="15.5" x14ac:dyDescent="0.35">
      <c r="A1" s="104" t="s">
        <v>89</v>
      </c>
    </row>
    <row r="3" spans="1:17" s="2" customFormat="1" ht="43.5" x14ac:dyDescent="0.35">
      <c r="A3" s="92" t="s">
        <v>44</v>
      </c>
      <c r="B3" s="92" t="s">
        <v>0</v>
      </c>
      <c r="C3" s="92" t="s">
        <v>2</v>
      </c>
      <c r="D3" s="92" t="s">
        <v>176</v>
      </c>
      <c r="E3" s="92" t="s">
        <v>186</v>
      </c>
      <c r="F3" s="92" t="s">
        <v>19</v>
      </c>
      <c r="G3" s="92" t="s">
        <v>20</v>
      </c>
    </row>
    <row r="4" spans="1:17" s="1" customFormat="1" x14ac:dyDescent="0.35">
      <c r="A4" s="66">
        <v>0</v>
      </c>
      <c r="B4" s="66">
        <v>2019</v>
      </c>
      <c r="C4" s="43">
        <v>1014</v>
      </c>
      <c r="D4" s="89">
        <v>2.5999999999999999E-2</v>
      </c>
      <c r="E4" s="67">
        <v>0</v>
      </c>
      <c r="F4" s="67">
        <f>E4/1.03^(A4)</f>
        <v>0</v>
      </c>
      <c r="G4" s="67">
        <f>E4/1.07^(A4)</f>
        <v>0</v>
      </c>
    </row>
    <row r="5" spans="1:17" x14ac:dyDescent="0.35">
      <c r="A5" s="53">
        <v>0</v>
      </c>
      <c r="B5" s="53">
        <v>2020</v>
      </c>
      <c r="C5" s="47">
        <f t="shared" ref="C5:C10" si="0">$C$4*1.01^(B5-$B$4)</f>
        <v>1024.1400000000001</v>
      </c>
      <c r="D5" s="90">
        <v>2.5999999999999999E-2</v>
      </c>
      <c r="E5" s="64">
        <v>0</v>
      </c>
      <c r="F5" s="64">
        <f t="shared" ref="F5:F6" si="1">E5/1.03^(A5)</f>
        <v>0</v>
      </c>
      <c r="G5" s="64">
        <f t="shared" ref="G5:G6" si="2">E5/1.07^(A5)</f>
        <v>0</v>
      </c>
      <c r="H5" s="1"/>
      <c r="Q5" s="16"/>
    </row>
    <row r="6" spans="1:17" x14ac:dyDescent="0.35">
      <c r="A6" s="66">
        <v>0</v>
      </c>
      <c r="B6" s="66">
        <v>2021</v>
      </c>
      <c r="C6" s="133">
        <f t="shared" si="0"/>
        <v>1034.3814</v>
      </c>
      <c r="D6" s="89">
        <v>2.5999999999999999E-2</v>
      </c>
      <c r="E6" s="67">
        <v>0</v>
      </c>
      <c r="F6" s="67">
        <f t="shared" si="1"/>
        <v>0</v>
      </c>
      <c r="G6" s="67">
        <f t="shared" si="2"/>
        <v>0</v>
      </c>
      <c r="H6" s="1"/>
      <c r="Q6" s="16"/>
    </row>
    <row r="7" spans="1:17" x14ac:dyDescent="0.35">
      <c r="A7" s="53">
        <v>1</v>
      </c>
      <c r="B7" s="53">
        <v>2022</v>
      </c>
      <c r="C7" s="47">
        <f t="shared" si="0"/>
        <v>1044.7252139999998</v>
      </c>
      <c r="D7" s="90">
        <v>2.5999999999999999E-2</v>
      </c>
      <c r="E7" s="64">
        <v>4623</v>
      </c>
      <c r="F7" s="64">
        <f>E7*D7*C7/1.03^(A7)</f>
        <v>121916.38958482716</v>
      </c>
      <c r="G7" s="64">
        <f>E7*D7*C7/1.07^(A7)</f>
        <v>117358.76754427287</v>
      </c>
      <c r="H7" s="1"/>
      <c r="Q7" s="16"/>
    </row>
    <row r="8" spans="1:17" x14ac:dyDescent="0.35">
      <c r="A8" s="66">
        <v>2</v>
      </c>
      <c r="B8" s="66">
        <v>2023</v>
      </c>
      <c r="C8" s="43">
        <f t="shared" si="0"/>
        <v>1055.1724661400001</v>
      </c>
      <c r="D8" s="89">
        <v>2.5999999999999999E-2</v>
      </c>
      <c r="E8" s="76">
        <v>4623</v>
      </c>
      <c r="F8" s="67">
        <f t="shared" ref="F8:F9" si="3">E8*D8*C8/1.03^(A8)</f>
        <v>119549.08104919948</v>
      </c>
      <c r="G8" s="67">
        <f t="shared" ref="G8:G9" si="4">E8*D8*C8/1.07^(A8)</f>
        <v>110777.90207450058</v>
      </c>
      <c r="H8" s="1"/>
      <c r="Q8" s="16"/>
    </row>
    <row r="9" spans="1:17" x14ac:dyDescent="0.35">
      <c r="A9" s="53">
        <v>3</v>
      </c>
      <c r="B9" s="53">
        <v>2024</v>
      </c>
      <c r="C9" s="47">
        <f t="shared" si="0"/>
        <v>1065.7241908014</v>
      </c>
      <c r="D9" s="90">
        <v>2.5999999999999999E-2</v>
      </c>
      <c r="E9" s="64">
        <v>4623</v>
      </c>
      <c r="F9" s="64">
        <f t="shared" si="3"/>
        <v>117227.73966960337</v>
      </c>
      <c r="G9" s="64">
        <f t="shared" si="4"/>
        <v>104566.05709836035</v>
      </c>
      <c r="H9" s="1"/>
      <c r="Q9" s="16"/>
    </row>
    <row r="10" spans="1:17" x14ac:dyDescent="0.35">
      <c r="A10" s="66">
        <v>4</v>
      </c>
      <c r="B10" s="66">
        <v>2025</v>
      </c>
      <c r="C10" s="43">
        <f t="shared" si="0"/>
        <v>1076.3814327094142</v>
      </c>
      <c r="D10" s="89">
        <v>2.5999999999999999E-2</v>
      </c>
      <c r="E10" s="67">
        <v>4623</v>
      </c>
      <c r="F10" s="67">
        <f>E10*D10*C10/1.03^(A10)</f>
        <v>114951.47287990234</v>
      </c>
      <c r="G10" s="67">
        <f>E10*D10*C10/1.07^(A10)</f>
        <v>98702.53987789157</v>
      </c>
      <c r="H10" s="1"/>
      <c r="Q10" s="16"/>
    </row>
    <row r="11" spans="1:17" x14ac:dyDescent="0.35">
      <c r="A11" s="53">
        <v>5</v>
      </c>
      <c r="B11" s="53">
        <v>2026</v>
      </c>
      <c r="C11" s="47">
        <f t="shared" ref="C11:C26" si="5">$C$5*1.01^(B11-$B$5)</f>
        <v>1087.1452470365084</v>
      </c>
      <c r="D11" s="90">
        <v>2.5999999999999999E-2</v>
      </c>
      <c r="E11" s="64">
        <v>4623</v>
      </c>
      <c r="F11" s="64">
        <f>E11*D11*C11/1.03^(A11)</f>
        <v>112719.40544534115</v>
      </c>
      <c r="G11" s="64">
        <f>E11*D11*C11/1.07^(A11)</f>
        <v>93167.818015579891</v>
      </c>
      <c r="H11" s="1"/>
      <c r="Q11" s="16"/>
    </row>
    <row r="12" spans="1:17" x14ac:dyDescent="0.35">
      <c r="A12" s="66">
        <v>6</v>
      </c>
      <c r="B12" s="66">
        <v>2027</v>
      </c>
      <c r="C12" s="43">
        <f t="shared" si="5"/>
        <v>1098.0166995068732</v>
      </c>
      <c r="D12" s="89">
        <v>2.5999999999999999E-2</v>
      </c>
      <c r="E12" s="76">
        <v>4623</v>
      </c>
      <c r="F12" s="67">
        <f t="shared" ref="F12:F26" si="6">E12*D12*C12/1.03^(A12)</f>
        <v>110530.6791260141</v>
      </c>
      <c r="G12" s="67">
        <f t="shared" ref="G12:G26" si="7">E12*D12*C12/1.07^(A12)</f>
        <v>87943.454388538012</v>
      </c>
      <c r="H12" s="1"/>
      <c r="Q12" s="16"/>
    </row>
    <row r="13" spans="1:17" x14ac:dyDescent="0.35">
      <c r="A13" s="53">
        <v>7</v>
      </c>
      <c r="B13" s="53">
        <v>2028</v>
      </c>
      <c r="C13" s="47">
        <f t="shared" si="5"/>
        <v>1108.9968665019421</v>
      </c>
      <c r="D13" s="90">
        <v>2.5999999999999999E-2</v>
      </c>
      <c r="E13" s="64">
        <v>4623</v>
      </c>
      <c r="F13" s="64">
        <f t="shared" si="6"/>
        <v>108384.45234686822</v>
      </c>
      <c r="G13" s="64">
        <f t="shared" si="7"/>
        <v>83012.045731236823</v>
      </c>
      <c r="H13" s="1"/>
      <c r="Q13" s="16"/>
    </row>
    <row r="14" spans="1:17" x14ac:dyDescent="0.35">
      <c r="A14" s="66">
        <v>8</v>
      </c>
      <c r="B14" s="66">
        <v>2029</v>
      </c>
      <c r="C14" s="43">
        <f t="shared" si="5"/>
        <v>1120.0868351669617</v>
      </c>
      <c r="D14" s="89">
        <v>2.5999999999999999E-2</v>
      </c>
      <c r="E14" s="76">
        <v>4623</v>
      </c>
      <c r="F14" s="67">
        <f t="shared" si="6"/>
        <v>106279.89987411351</v>
      </c>
      <c r="G14" s="67">
        <f t="shared" si="7"/>
        <v>78357.164662195515</v>
      </c>
      <c r="H14" s="1"/>
      <c r="Q14" s="16"/>
    </row>
    <row r="15" spans="1:17" x14ac:dyDescent="0.35">
      <c r="A15" s="53">
        <v>9</v>
      </c>
      <c r="B15" s="53">
        <v>2030</v>
      </c>
      <c r="C15" s="47">
        <f t="shared" si="5"/>
        <v>1131.2877035186314</v>
      </c>
      <c r="D15" s="90">
        <v>2.5999999999999999E-2</v>
      </c>
      <c r="E15" s="64">
        <v>4623</v>
      </c>
      <c r="F15" s="64">
        <f>E15*D15*C15/1.03^(A15)</f>
        <v>104216.21249791713</v>
      </c>
      <c r="G15" s="64">
        <f>E15*D15*C15/1.07^(A15)</f>
        <v>73963.304961511647</v>
      </c>
      <c r="H15" s="1"/>
      <c r="Q15" s="16"/>
    </row>
    <row r="16" spans="1:17" x14ac:dyDescent="0.35">
      <c r="A16" s="66">
        <v>10</v>
      </c>
      <c r="B16" s="66">
        <v>2031</v>
      </c>
      <c r="C16" s="43">
        <f t="shared" si="5"/>
        <v>1142.6005805538175</v>
      </c>
      <c r="D16" s="89">
        <v>2.5999999999999999E-2</v>
      </c>
      <c r="E16" s="76">
        <v>4623</v>
      </c>
      <c r="F16" s="67">
        <f t="shared" si="6"/>
        <v>102192.59672125854</v>
      </c>
      <c r="G16" s="67">
        <f t="shared" si="7"/>
        <v>69815.8299169409</v>
      </c>
      <c r="H16" s="1"/>
      <c r="Q16" s="16"/>
    </row>
    <row r="17" spans="1:17" x14ac:dyDescent="0.35">
      <c r="A17" s="53">
        <v>11</v>
      </c>
      <c r="B17" s="53">
        <v>2032</v>
      </c>
      <c r="C17" s="47">
        <f t="shared" si="5"/>
        <v>1154.0265863593556</v>
      </c>
      <c r="D17" s="90">
        <v>2.5999999999999999E-2</v>
      </c>
      <c r="E17" s="64">
        <v>4623</v>
      </c>
      <c r="F17" s="64">
        <f t="shared" si="6"/>
        <v>100208.27445482631</v>
      </c>
      <c r="G17" s="64">
        <f t="shared" si="7"/>
        <v>65900.923566458208</v>
      </c>
      <c r="H17" s="1"/>
      <c r="Q17" s="16"/>
    </row>
    <row r="18" spans="1:17" x14ac:dyDescent="0.35">
      <c r="A18" s="66">
        <v>12</v>
      </c>
      <c r="B18" s="66">
        <v>2033</v>
      </c>
      <c r="C18" s="43">
        <f t="shared" si="5"/>
        <v>1165.5668522229491</v>
      </c>
      <c r="D18" s="89">
        <v>2.5999999999999999E-2</v>
      </c>
      <c r="E18" s="76">
        <v>4623</v>
      </c>
      <c r="F18" s="67">
        <f t="shared" si="6"/>
        <v>98262.482717839419</v>
      </c>
      <c r="G18" s="67">
        <f t="shared" si="7"/>
        <v>62205.54467488113</v>
      </c>
      <c r="H18" s="1"/>
      <c r="Q18" s="16"/>
    </row>
    <row r="19" spans="1:17" x14ac:dyDescent="0.35">
      <c r="A19" s="53">
        <v>13</v>
      </c>
      <c r="B19" s="53">
        <v>2034</v>
      </c>
      <c r="C19" s="47">
        <f t="shared" si="5"/>
        <v>1177.2225207451788</v>
      </c>
      <c r="D19" s="90">
        <v>2.5999999999999999E-2</v>
      </c>
      <c r="E19" s="64">
        <v>4623</v>
      </c>
      <c r="F19" s="64">
        <f t="shared" si="6"/>
        <v>96354.473344677506</v>
      </c>
      <c r="G19" s="64">
        <f t="shared" si="7"/>
        <v>58717.383291242943</v>
      </c>
      <c r="H19" s="1"/>
      <c r="Q19" s="16"/>
    </row>
    <row r="20" spans="1:17" x14ac:dyDescent="0.35">
      <c r="A20" s="66">
        <v>14</v>
      </c>
      <c r="B20" s="66">
        <v>2035</v>
      </c>
      <c r="C20" s="43">
        <f t="shared" si="5"/>
        <v>1188.9947459526304</v>
      </c>
      <c r="D20" s="89">
        <v>2.5999999999999999E-2</v>
      </c>
      <c r="E20" s="76">
        <v>4623</v>
      </c>
      <c r="F20" s="67">
        <f>E20*D20*C20/1.03^(A20)</f>
        <v>94483.512697208018</v>
      </c>
      <c r="G20" s="67">
        <f t="shared" si="7"/>
        <v>55424.819742201282</v>
      </c>
      <c r="H20" s="1"/>
      <c r="Q20" s="16"/>
    </row>
    <row r="21" spans="1:17" x14ac:dyDescent="0.35">
      <c r="A21" s="53">
        <v>15</v>
      </c>
      <c r="B21" s="53">
        <v>2036</v>
      </c>
      <c r="C21" s="47">
        <f t="shared" si="5"/>
        <v>1200.884693412157</v>
      </c>
      <c r="D21" s="90">
        <v>2.5999999999999999E-2</v>
      </c>
      <c r="E21" s="64">
        <v>4623</v>
      </c>
      <c r="F21" s="64">
        <f t="shared" si="6"/>
        <v>92648.881382699154</v>
      </c>
      <c r="G21" s="64">
        <f t="shared" si="7"/>
        <v>52316.885924881586</v>
      </c>
      <c r="H21" s="1"/>
      <c r="Q21" s="16"/>
    </row>
    <row r="22" spans="1:17" x14ac:dyDescent="0.35">
      <c r="A22" s="66">
        <v>16</v>
      </c>
      <c r="B22" s="66">
        <v>2037</v>
      </c>
      <c r="C22" s="43">
        <f t="shared" si="5"/>
        <v>1212.8935403462785</v>
      </c>
      <c r="D22" s="89">
        <v>2.5999999999999999E-2</v>
      </c>
      <c r="E22" s="76">
        <v>4623</v>
      </c>
      <c r="F22" s="67">
        <f t="shared" si="6"/>
        <v>90849.873977209863</v>
      </c>
      <c r="G22" s="67">
        <f t="shared" si="7"/>
        <v>49383.228770215333</v>
      </c>
      <c r="H22" s="1"/>
      <c r="Q22" s="16"/>
    </row>
    <row r="23" spans="1:17" x14ac:dyDescent="0.35">
      <c r="A23" s="53">
        <v>17</v>
      </c>
      <c r="B23" s="53">
        <v>2038</v>
      </c>
      <c r="C23" s="47">
        <f t="shared" si="5"/>
        <v>1225.0224757497415</v>
      </c>
      <c r="D23" s="90">
        <v>2.5999999999999999E-2</v>
      </c>
      <c r="E23" s="64">
        <v>4623</v>
      </c>
      <c r="F23" s="64">
        <f t="shared" si="6"/>
        <v>89085.798754351432</v>
      </c>
      <c r="G23" s="64">
        <f>E23*D23*C23/1.07^(A23)</f>
        <v>46614.075755063081</v>
      </c>
      <c r="H23" s="1"/>
      <c r="Q23" s="16"/>
    </row>
    <row r="24" spans="1:17" x14ac:dyDescent="0.35">
      <c r="A24" s="66">
        <v>18</v>
      </c>
      <c r="B24" s="66">
        <v>2039</v>
      </c>
      <c r="C24" s="43">
        <f t="shared" si="5"/>
        <v>1237.2727005072386</v>
      </c>
      <c r="D24" s="89">
        <v>2.5999999999999999E-2</v>
      </c>
      <c r="E24" s="76">
        <v>4623</v>
      </c>
      <c r="F24" s="67">
        <f t="shared" si="6"/>
        <v>87355.977419315444</v>
      </c>
      <c r="G24" s="67">
        <f t="shared" si="7"/>
        <v>44000.202348237093</v>
      </c>
      <c r="H24" s="1"/>
      <c r="Q24" s="16"/>
    </row>
    <row r="25" spans="1:17" x14ac:dyDescent="0.35">
      <c r="A25" s="53">
        <v>19</v>
      </c>
      <c r="B25" s="53">
        <v>2040</v>
      </c>
      <c r="C25" s="47">
        <f t="shared" si="5"/>
        <v>1249.645427512311</v>
      </c>
      <c r="D25" s="90">
        <v>2.5999999999999999E-2</v>
      </c>
      <c r="E25" s="64">
        <v>4623</v>
      </c>
      <c r="F25" s="64">
        <f t="shared" si="6"/>
        <v>85659.744848066621</v>
      </c>
      <c r="G25" s="64">
        <f t="shared" si="7"/>
        <v>41532.901281980812</v>
      </c>
      <c r="H25" s="1"/>
      <c r="Q25" s="16"/>
    </row>
    <row r="26" spans="1:17" x14ac:dyDescent="0.35">
      <c r="A26" s="66">
        <v>20</v>
      </c>
      <c r="B26" s="66">
        <v>2041</v>
      </c>
      <c r="C26" s="43">
        <f t="shared" si="5"/>
        <v>1262.1418817874342</v>
      </c>
      <c r="D26" s="89">
        <v>2.5999999999999999E-2</v>
      </c>
      <c r="E26" s="76">
        <v>4623</v>
      </c>
      <c r="F26" s="67">
        <f t="shared" si="6"/>
        <v>83996.448831599308</v>
      </c>
      <c r="G26" s="67">
        <f t="shared" si="7"/>
        <v>39203.953546542645</v>
      </c>
      <c r="H26" s="1"/>
      <c r="Q26" s="16"/>
    </row>
    <row r="27" spans="1:17" x14ac:dyDescent="0.35">
      <c r="A27" s="53"/>
      <c r="B27" s="53"/>
      <c r="C27" s="47"/>
      <c r="D27" s="90"/>
      <c r="E27" s="64"/>
      <c r="F27" s="64"/>
      <c r="G27" s="64"/>
      <c r="H27" s="1"/>
      <c r="K27" s="34"/>
      <c r="Q27" s="16"/>
    </row>
    <row r="28" spans="1:17" x14ac:dyDescent="0.35">
      <c r="A28" s="105"/>
      <c r="B28" s="66"/>
      <c r="C28" s="107"/>
      <c r="D28" s="131"/>
      <c r="E28" s="76"/>
      <c r="F28" s="108"/>
      <c r="G28" s="108"/>
      <c r="H28" s="1"/>
      <c r="Q28" s="16"/>
    </row>
    <row r="29" spans="1:17" ht="15" thickBot="1" x14ac:dyDescent="0.4">
      <c r="A29" s="78"/>
      <c r="B29" s="77"/>
      <c r="C29" s="77"/>
      <c r="D29" s="78"/>
      <c r="E29" s="79"/>
      <c r="F29" s="80">
        <f>SUM(F4:F28)</f>
        <v>2036873.3976228379</v>
      </c>
      <c r="G29" s="80">
        <f>SUM(G4:G28)</f>
        <v>1432964.803172732</v>
      </c>
    </row>
    <row r="30" spans="1:17" x14ac:dyDescent="0.35">
      <c r="A30" s="19"/>
      <c r="H30" s="15"/>
      <c r="I30" s="15"/>
    </row>
    <row r="31" spans="1:17" x14ac:dyDescent="0.35">
      <c r="A31" s="20" t="s">
        <v>59</v>
      </c>
      <c r="L31" s="30"/>
    </row>
    <row r="32" spans="1:17" x14ac:dyDescent="0.35">
      <c r="A32" s="20" t="s">
        <v>45</v>
      </c>
    </row>
    <row r="33" spans="1:2" x14ac:dyDescent="0.35">
      <c r="A33" s="20" t="s">
        <v>177</v>
      </c>
    </row>
    <row r="34" spans="1:2" x14ac:dyDescent="0.35">
      <c r="A34" s="20" t="s">
        <v>178</v>
      </c>
    </row>
    <row r="35" spans="1:2" x14ac:dyDescent="0.35">
      <c r="A35" s="20" t="s">
        <v>179</v>
      </c>
    </row>
    <row r="36" spans="1:2" x14ac:dyDescent="0.35">
      <c r="A36" s="20" t="s">
        <v>180</v>
      </c>
    </row>
    <row r="37" spans="1:2" x14ac:dyDescent="0.35">
      <c r="A37" s="20" t="s">
        <v>94</v>
      </c>
    </row>
    <row r="38" spans="1:2" x14ac:dyDescent="0.35">
      <c r="A38"/>
    </row>
    <row r="39" spans="1:2" x14ac:dyDescent="0.35">
      <c r="A39" t="s">
        <v>182</v>
      </c>
    </row>
    <row r="40" spans="1:2" x14ac:dyDescent="0.35">
      <c r="A40" t="s">
        <v>183</v>
      </c>
      <c r="B40" t="s">
        <v>184</v>
      </c>
    </row>
    <row r="41" spans="1:2" x14ac:dyDescent="0.35">
      <c r="A41" t="s">
        <v>185</v>
      </c>
      <c r="B41" s="34">
        <v>4623</v>
      </c>
    </row>
    <row r="42" spans="1:2" x14ac:dyDescent="0.35">
      <c r="A42"/>
    </row>
    <row r="43" spans="1:2" x14ac:dyDescent="0.35">
      <c r="A43" s="32" t="s">
        <v>181</v>
      </c>
    </row>
    <row r="44" spans="1:2" x14ac:dyDescent="0.35">
      <c r="A44"/>
    </row>
    <row r="45" spans="1:2" x14ac:dyDescent="0.35">
      <c r="A45"/>
    </row>
    <row r="47" spans="1:2" x14ac:dyDescent="0.35">
      <c r="A47" s="8"/>
    </row>
    <row r="48" spans="1:2" x14ac:dyDescent="0.35">
      <c r="A48" s="8"/>
    </row>
    <row r="49" spans="1:3" x14ac:dyDescent="0.35">
      <c r="A49" s="8"/>
    </row>
    <row r="50" spans="1:3" x14ac:dyDescent="0.35">
      <c r="A50" s="8"/>
    </row>
    <row r="51" spans="1:3" x14ac:dyDescent="0.35">
      <c r="A51" s="8"/>
    </row>
    <row r="53" spans="1:3" x14ac:dyDescent="0.35">
      <c r="A53" s="9"/>
      <c r="B53" s="10"/>
      <c r="C53" s="10"/>
    </row>
    <row r="54" spans="1:3" x14ac:dyDescent="0.35">
      <c r="A54" s="11"/>
      <c r="B54" s="10"/>
      <c r="C54" s="10"/>
    </row>
    <row r="55" spans="1:3" x14ac:dyDescent="0.35">
      <c r="A55" s="12"/>
      <c r="B55" s="12"/>
      <c r="C55" s="12"/>
    </row>
    <row r="56" spans="1:3" x14ac:dyDescent="0.35">
      <c r="A56" s="11"/>
      <c r="B56" s="13"/>
      <c r="C56" s="13"/>
    </row>
    <row r="57" spans="1:3" x14ac:dyDescent="0.35">
      <c r="A57" s="11"/>
      <c r="B57" s="13"/>
      <c r="C57" s="13"/>
    </row>
    <row r="58" spans="1:3" x14ac:dyDescent="0.35">
      <c r="A58" s="11"/>
      <c r="B58" s="13"/>
      <c r="C58" s="13"/>
    </row>
    <row r="59" spans="1:3" x14ac:dyDescent="0.35">
      <c r="A59" s="11"/>
      <c r="B59" s="13"/>
      <c r="C59" s="13"/>
    </row>
    <row r="60" spans="1:3" x14ac:dyDescent="0.35">
      <c r="A60" s="11"/>
      <c r="B60" s="13"/>
      <c r="C60" s="13"/>
    </row>
    <row r="61" spans="1:3" x14ac:dyDescent="0.35">
      <c r="A61" s="11"/>
      <c r="B61" s="13"/>
      <c r="C61" s="13"/>
    </row>
    <row r="62" spans="1:3" x14ac:dyDescent="0.35">
      <c r="A62" s="11"/>
      <c r="B62" s="13"/>
      <c r="C62" s="13"/>
    </row>
    <row r="63" spans="1:3" x14ac:dyDescent="0.35">
      <c r="A63" s="11"/>
      <c r="B63" s="13"/>
      <c r="C63" s="13"/>
    </row>
    <row r="64" spans="1:3" x14ac:dyDescent="0.35">
      <c r="A64" s="11"/>
      <c r="B64" s="13"/>
      <c r="C64" s="13"/>
    </row>
    <row r="65" spans="1:3" x14ac:dyDescent="0.35">
      <c r="A65" s="11"/>
      <c r="B65" s="13"/>
      <c r="C65" s="13"/>
    </row>
    <row r="66" spans="1:3" x14ac:dyDescent="0.35">
      <c r="A66" s="11"/>
      <c r="B66" s="13"/>
      <c r="C66" s="13"/>
    </row>
    <row r="67" spans="1:3" x14ac:dyDescent="0.35">
      <c r="A67" s="11"/>
      <c r="B67" s="13"/>
      <c r="C67" s="13"/>
    </row>
    <row r="68" spans="1:3" x14ac:dyDescent="0.35">
      <c r="A68" s="11"/>
      <c r="B68" s="13"/>
      <c r="C68" s="13"/>
    </row>
    <row r="69" spans="1:3" x14ac:dyDescent="0.35">
      <c r="A69" s="11"/>
      <c r="B69" s="13"/>
      <c r="C69" s="13"/>
    </row>
    <row r="70" spans="1:3" x14ac:dyDescent="0.35">
      <c r="A70" s="11"/>
      <c r="B70" s="13"/>
      <c r="C70" s="13"/>
    </row>
    <row r="71" spans="1:3" x14ac:dyDescent="0.35">
      <c r="A71" s="11"/>
      <c r="B71" s="13"/>
      <c r="C71" s="13"/>
    </row>
    <row r="72" spans="1:3" x14ac:dyDescent="0.35">
      <c r="A72" s="11"/>
      <c r="B72" s="13"/>
      <c r="C72" s="13"/>
    </row>
    <row r="73" spans="1:3" x14ac:dyDescent="0.35">
      <c r="A73" s="11"/>
      <c r="B73" s="13"/>
      <c r="C73" s="13"/>
    </row>
    <row r="74" spans="1:3" x14ac:dyDescent="0.35">
      <c r="A74" s="11"/>
      <c r="B74" s="13"/>
      <c r="C74" s="13"/>
    </row>
    <row r="75" spans="1:3" x14ac:dyDescent="0.35">
      <c r="A75" s="11"/>
      <c r="B75" s="13"/>
      <c r="C75" s="13"/>
    </row>
    <row r="76" spans="1:3" x14ac:dyDescent="0.35">
      <c r="A76" s="11"/>
      <c r="B76" s="13"/>
      <c r="C76" s="13"/>
    </row>
    <row r="77" spans="1:3" x14ac:dyDescent="0.35">
      <c r="A77" s="11"/>
      <c r="B77" s="13"/>
      <c r="C77" s="13"/>
    </row>
    <row r="78" spans="1:3" x14ac:dyDescent="0.35">
      <c r="A78" s="11"/>
      <c r="B78" s="10"/>
      <c r="C78" s="10"/>
    </row>
    <row r="79" spans="1:3" x14ac:dyDescent="0.35">
      <c r="A79" s="11"/>
      <c r="B79" s="14"/>
      <c r="C79" s="14"/>
    </row>
    <row r="80" spans="1:3" x14ac:dyDescent="0.35">
      <c r="A80" s="11"/>
      <c r="B80" s="10"/>
      <c r="C80" s="10"/>
    </row>
  </sheetData>
  <hyperlinks>
    <hyperlink ref="A43" r:id="rId1" xr:uid="{00000000-0004-0000-0900-000000000000}"/>
  </hyperlinks>
  <pageMargins left="0.7" right="0.7" top="0.75" bottom="0.75" header="0.3" footer="0.3"/>
  <pageSetup scale="7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5"/>
  <sheetViews>
    <sheetView zoomScale="90" zoomScaleNormal="90" workbookViewId="0">
      <pane ySplit="3" topLeftCell="A4" activePane="bottomLeft" state="frozen"/>
      <selection pane="bottomLeft" activeCell="G62" sqref="G62"/>
    </sheetView>
  </sheetViews>
  <sheetFormatPr defaultRowHeight="14.5" x14ac:dyDescent="0.35"/>
  <cols>
    <col min="1" max="1" width="16.90625" customWidth="1"/>
    <col min="2" max="2" width="17" style="1" customWidth="1"/>
    <col min="3" max="3" width="12.6328125" bestFit="1" customWidth="1"/>
    <col min="4" max="4" width="14.26953125" bestFit="1" customWidth="1"/>
    <col min="5" max="5" width="14.1796875" customWidth="1"/>
    <col min="6" max="6" width="18.453125" customWidth="1"/>
    <col min="7" max="7" width="13.26953125" bestFit="1" customWidth="1"/>
    <col min="8" max="8" width="15.81640625" bestFit="1" customWidth="1"/>
    <col min="9" max="9" width="14.453125" bestFit="1" customWidth="1"/>
    <col min="10" max="10" width="18.81640625" bestFit="1" customWidth="1"/>
    <col min="11" max="11" width="17.453125" bestFit="1" customWidth="1"/>
    <col min="12" max="12" width="15.81640625" bestFit="1" customWidth="1"/>
    <col min="13" max="14" width="19.1796875" bestFit="1" customWidth="1"/>
    <col min="15" max="15" width="15.453125" customWidth="1"/>
    <col min="16" max="16" width="14.54296875" customWidth="1"/>
    <col min="17" max="17" width="18.81640625" bestFit="1" customWidth="1"/>
    <col min="18" max="18" width="18.1796875" customWidth="1"/>
    <col min="19" max="20" width="15" bestFit="1" customWidth="1"/>
    <col min="21" max="22" width="12.54296875" customWidth="1"/>
    <col min="23" max="24" width="12.54296875" style="1" customWidth="1"/>
    <col min="25" max="26" width="12.54296875" customWidth="1"/>
    <col min="27" max="27" width="10" bestFit="1" customWidth="1"/>
    <col min="28" max="28" width="13.26953125" bestFit="1" customWidth="1"/>
    <col min="30" max="30" width="13.26953125" bestFit="1" customWidth="1"/>
    <col min="32" max="32" width="13.26953125" bestFit="1" customWidth="1"/>
  </cols>
  <sheetData>
    <row r="1" spans="1:25" ht="15.5" x14ac:dyDescent="0.35">
      <c r="A1" s="104" t="s">
        <v>219</v>
      </c>
    </row>
    <row r="3" spans="1:25" s="2" customFormat="1" ht="43.5" x14ac:dyDescent="0.35">
      <c r="A3" s="92" t="s">
        <v>44</v>
      </c>
      <c r="B3" s="92" t="s">
        <v>0</v>
      </c>
      <c r="C3" s="92" t="s">
        <v>1</v>
      </c>
      <c r="D3" s="92" t="s">
        <v>2</v>
      </c>
      <c r="E3" s="92" t="s">
        <v>3</v>
      </c>
      <c r="F3" s="92" t="s">
        <v>4</v>
      </c>
      <c r="G3" s="92" t="s">
        <v>142</v>
      </c>
      <c r="H3" s="92" t="s">
        <v>13</v>
      </c>
      <c r="I3" s="92" t="s">
        <v>171</v>
      </c>
      <c r="J3" s="92" t="s">
        <v>173</v>
      </c>
      <c r="K3" s="92" t="s">
        <v>174</v>
      </c>
      <c r="L3" s="92" t="s">
        <v>175</v>
      </c>
      <c r="M3" s="92" t="s">
        <v>172</v>
      </c>
      <c r="N3" s="92" t="s">
        <v>16</v>
      </c>
      <c r="S3"/>
      <c r="T3"/>
      <c r="U3"/>
      <c r="V3"/>
      <c r="W3"/>
      <c r="X3"/>
      <c r="Y3"/>
    </row>
    <row r="4" spans="1:25" s="1" customFormat="1" x14ac:dyDescent="0.35">
      <c r="A4" s="66">
        <v>0</v>
      </c>
      <c r="B4" s="66">
        <v>2019</v>
      </c>
      <c r="C4" s="43">
        <v>4800</v>
      </c>
      <c r="D4" s="44">
        <v>1061</v>
      </c>
      <c r="E4" s="45"/>
      <c r="F4" s="44"/>
      <c r="G4" s="44"/>
      <c r="H4" s="46"/>
      <c r="I4" s="46"/>
      <c r="J4" s="46"/>
      <c r="K4" s="46"/>
      <c r="L4" s="46"/>
      <c r="M4" s="46"/>
      <c r="N4" s="46"/>
      <c r="S4"/>
      <c r="T4"/>
      <c r="U4"/>
      <c r="V4"/>
      <c r="W4"/>
      <c r="X4"/>
      <c r="Y4"/>
    </row>
    <row r="5" spans="1:25" x14ac:dyDescent="0.35">
      <c r="A5" s="53">
        <v>0</v>
      </c>
      <c r="B5" s="53">
        <v>2020</v>
      </c>
      <c r="C5" s="47">
        <f t="shared" ref="C5:C26" si="0">$C$4*(1.01)^(B5-$B$4)</f>
        <v>4848</v>
      </c>
      <c r="D5" s="48">
        <f t="shared" ref="D5:D26" si="1">$D$4*1.01^(B5-$B$4)</f>
        <v>1071.6099999999999</v>
      </c>
      <c r="E5" s="49"/>
      <c r="F5" s="48"/>
      <c r="G5" s="48"/>
      <c r="H5" s="50"/>
      <c r="I5" s="50"/>
      <c r="J5" s="50"/>
      <c r="K5" s="50"/>
      <c r="L5" s="50"/>
      <c r="M5" s="50"/>
      <c r="N5" s="50"/>
      <c r="P5" s="31"/>
      <c r="W5"/>
      <c r="X5"/>
    </row>
    <row r="6" spans="1:25" x14ac:dyDescent="0.35">
      <c r="A6" s="66">
        <v>0</v>
      </c>
      <c r="B6" s="66">
        <v>2021</v>
      </c>
      <c r="C6" s="43">
        <f t="shared" si="0"/>
        <v>4896.4800000000005</v>
      </c>
      <c r="D6" s="44">
        <f t="shared" si="1"/>
        <v>1082.3261</v>
      </c>
      <c r="E6" s="45"/>
      <c r="F6" s="44"/>
      <c r="G6" s="44"/>
      <c r="H6" s="46"/>
      <c r="I6" s="46"/>
      <c r="J6" s="46"/>
      <c r="K6" s="46"/>
      <c r="L6" s="46"/>
      <c r="M6" s="46"/>
      <c r="N6" s="46"/>
      <c r="W6"/>
      <c r="X6"/>
    </row>
    <row r="7" spans="1:25" s="28" customFormat="1" x14ac:dyDescent="0.35">
      <c r="A7" s="53">
        <v>1</v>
      </c>
      <c r="B7" s="53">
        <v>2022</v>
      </c>
      <c r="C7" s="47">
        <f t="shared" si="0"/>
        <v>4945.4447999999993</v>
      </c>
      <c r="D7" s="48">
        <f t="shared" si="1"/>
        <v>1093.149361</v>
      </c>
      <c r="E7" s="49">
        <v>8.6</v>
      </c>
      <c r="F7" s="48">
        <f>D7*E7</f>
        <v>9401.0845045999995</v>
      </c>
      <c r="G7" s="48">
        <f>E7*D7*365</f>
        <v>3431395.8441789998</v>
      </c>
      <c r="H7" s="50">
        <f>C7*365/1000000</f>
        <v>1.8050873519999997</v>
      </c>
      <c r="I7" s="50">
        <v>0.15</v>
      </c>
      <c r="J7" s="50">
        <v>0.2</v>
      </c>
      <c r="K7" s="50">
        <v>0.3</v>
      </c>
      <c r="L7" s="50">
        <v>0.65</v>
      </c>
      <c r="M7" s="50">
        <f>H7*(I7+J7+K7+L7)</f>
        <v>2.3466135575999991</v>
      </c>
      <c r="N7" s="51">
        <f t="shared" ref="N7" si="2">M7*$C$67</f>
        <v>181159.23868158855</v>
      </c>
    </row>
    <row r="8" spans="1:25" s="28" customFormat="1" x14ac:dyDescent="0.35">
      <c r="A8" s="132">
        <v>2</v>
      </c>
      <c r="B8" s="132">
        <v>2023</v>
      </c>
      <c r="C8" s="133">
        <f t="shared" si="0"/>
        <v>4994.8992479999997</v>
      </c>
      <c r="D8" s="134">
        <f t="shared" si="1"/>
        <v>1104.08085461</v>
      </c>
      <c r="E8" s="45">
        <v>8.6</v>
      </c>
      <c r="F8" s="44">
        <f>D8*E8</f>
        <v>9495.0953496459988</v>
      </c>
      <c r="G8" s="44">
        <f>E8*D8*366</f>
        <v>3475204.8979704357</v>
      </c>
      <c r="H8" s="46">
        <f>C8*365/1000000</f>
        <v>1.8231382255199999</v>
      </c>
      <c r="I8" s="46">
        <v>0.15</v>
      </c>
      <c r="J8" s="46">
        <v>0.2</v>
      </c>
      <c r="K8" s="46">
        <v>0.3</v>
      </c>
      <c r="L8" s="46">
        <v>0.65</v>
      </c>
      <c r="M8" s="46">
        <f>H8*(I8+J8+K8+L8)</f>
        <v>2.3700796931759998</v>
      </c>
      <c r="N8" s="52">
        <f t="shared" ref="N8:N26" si="3">M8*$C$67</f>
        <v>182970.83106840448</v>
      </c>
    </row>
    <row r="9" spans="1:25" x14ac:dyDescent="0.35">
      <c r="A9" s="53">
        <v>3</v>
      </c>
      <c r="B9" s="53">
        <v>2024</v>
      </c>
      <c r="C9" s="47">
        <f t="shared" si="0"/>
        <v>5044.8482404799997</v>
      </c>
      <c r="D9" s="48">
        <f t="shared" si="1"/>
        <v>1115.1216631560999</v>
      </c>
      <c r="E9" s="49">
        <v>8.6</v>
      </c>
      <c r="F9" s="48">
        <f>D9*E9</f>
        <v>9590.0463031424588</v>
      </c>
      <c r="G9" s="48">
        <f>E9*D9*365</f>
        <v>3500366.9006469976</v>
      </c>
      <c r="H9" s="50">
        <f>C9*365/1000000</f>
        <v>1.8413696077752</v>
      </c>
      <c r="I9" s="50">
        <v>0.15</v>
      </c>
      <c r="J9" s="50">
        <v>0.2</v>
      </c>
      <c r="K9" s="50">
        <v>0.3</v>
      </c>
      <c r="L9" s="50">
        <v>0.65</v>
      </c>
      <c r="M9" s="50">
        <f>H9*(I9+J9+K9+L9)</f>
        <v>2.3937804901077597</v>
      </c>
      <c r="N9" s="51">
        <f t="shared" si="3"/>
        <v>184800.53937908853</v>
      </c>
      <c r="W9"/>
      <c r="X9"/>
    </row>
    <row r="10" spans="1:25" s="35" customFormat="1" x14ac:dyDescent="0.35">
      <c r="A10" s="66">
        <v>4</v>
      </c>
      <c r="B10" s="66">
        <v>2025</v>
      </c>
      <c r="C10" s="43">
        <f t="shared" si="0"/>
        <v>5095.2967228848011</v>
      </c>
      <c r="D10" s="44">
        <f t="shared" si="1"/>
        <v>1126.2728797876612</v>
      </c>
      <c r="E10" s="45">
        <v>8.6</v>
      </c>
      <c r="F10" s="44">
        <f t="shared" ref="F10:F26" si="4">D10*E10</f>
        <v>9685.9467661738854</v>
      </c>
      <c r="G10" s="44">
        <f t="shared" ref="G10" si="5">E10*D10*366</f>
        <v>3545056.5164196421</v>
      </c>
      <c r="H10" s="46">
        <f t="shared" ref="H10:H26" si="6">C10*365/1000000</f>
        <v>1.8597833038529523</v>
      </c>
      <c r="I10" s="46">
        <v>0.15</v>
      </c>
      <c r="J10" s="46">
        <v>0.2</v>
      </c>
      <c r="K10" s="46">
        <v>0.3</v>
      </c>
      <c r="L10" s="46">
        <v>0.65</v>
      </c>
      <c r="M10" s="46">
        <f t="shared" ref="M10:M26" si="7">H10*(I10+J10+K10+L10)</f>
        <v>2.4177182950088376</v>
      </c>
      <c r="N10" s="52">
        <f t="shared" si="3"/>
        <v>186648.54477287942</v>
      </c>
      <c r="O10"/>
      <c r="U10"/>
      <c r="V10"/>
      <c r="W10"/>
      <c r="X10"/>
      <c r="Y10"/>
    </row>
    <row r="11" spans="1:25" x14ac:dyDescent="0.35">
      <c r="A11" s="53">
        <v>5</v>
      </c>
      <c r="B11" s="53">
        <v>2026</v>
      </c>
      <c r="C11" s="47">
        <f t="shared" si="0"/>
        <v>5146.2496901136474</v>
      </c>
      <c r="D11" s="48">
        <f t="shared" si="1"/>
        <v>1137.5356085855374</v>
      </c>
      <c r="E11" s="49">
        <v>8.6</v>
      </c>
      <c r="F11" s="48">
        <f t="shared" si="4"/>
        <v>9782.8062338356212</v>
      </c>
      <c r="G11" s="48">
        <f t="shared" ref="G11" si="8">E11*D11*365</f>
        <v>3570724.2753500016</v>
      </c>
      <c r="H11" s="50">
        <f t="shared" si="6"/>
        <v>1.8783811368914813</v>
      </c>
      <c r="I11" s="50">
        <v>0.15</v>
      </c>
      <c r="J11" s="50">
        <v>0.2</v>
      </c>
      <c r="K11" s="50">
        <v>0.3</v>
      </c>
      <c r="L11" s="50">
        <v>0.65</v>
      </c>
      <c r="M11" s="50">
        <f t="shared" si="7"/>
        <v>2.4418954779589255</v>
      </c>
      <c r="N11" s="51">
        <f t="shared" si="3"/>
        <v>188515.0302206082</v>
      </c>
      <c r="W11"/>
      <c r="X11"/>
    </row>
    <row r="12" spans="1:25" x14ac:dyDescent="0.35">
      <c r="A12" s="132">
        <v>6</v>
      </c>
      <c r="B12" s="66">
        <v>2027</v>
      </c>
      <c r="C12" s="43">
        <f t="shared" si="0"/>
        <v>5197.7121870147848</v>
      </c>
      <c r="D12" s="44">
        <f t="shared" si="1"/>
        <v>1148.9109646713932</v>
      </c>
      <c r="E12" s="45">
        <v>8.6</v>
      </c>
      <c r="F12" s="44">
        <f t="shared" si="4"/>
        <v>9880.6342961739811</v>
      </c>
      <c r="G12" s="44">
        <f t="shared" ref="G12" si="9">E12*D12*366</f>
        <v>3616312.1523996769</v>
      </c>
      <c r="H12" s="46">
        <f t="shared" si="6"/>
        <v>1.8971649482603965</v>
      </c>
      <c r="I12" s="46">
        <v>0.15</v>
      </c>
      <c r="J12" s="46">
        <v>0.2</v>
      </c>
      <c r="K12" s="46">
        <v>0.3</v>
      </c>
      <c r="L12" s="46">
        <v>0.65</v>
      </c>
      <c r="M12" s="46">
        <f t="shared" si="7"/>
        <v>2.4663144327385149</v>
      </c>
      <c r="N12" s="52">
        <f t="shared" si="3"/>
        <v>190400.18052281428</v>
      </c>
      <c r="W12"/>
      <c r="X12"/>
    </row>
    <row r="13" spans="1:25" x14ac:dyDescent="0.35">
      <c r="A13" s="53">
        <v>7</v>
      </c>
      <c r="B13" s="53">
        <v>2028</v>
      </c>
      <c r="C13" s="47">
        <f t="shared" si="0"/>
        <v>5249.6893088849338</v>
      </c>
      <c r="D13" s="48">
        <f t="shared" si="1"/>
        <v>1160.400074318107</v>
      </c>
      <c r="E13" s="49">
        <v>8.6</v>
      </c>
      <c r="F13" s="48">
        <f t="shared" si="4"/>
        <v>9979.4406391357206</v>
      </c>
      <c r="G13" s="48">
        <f t="shared" ref="G13" si="10">E13*D13*365</f>
        <v>3642495.8332845382</v>
      </c>
      <c r="H13" s="50">
        <f t="shared" si="6"/>
        <v>1.9161365977430009</v>
      </c>
      <c r="I13" s="50">
        <v>0.15</v>
      </c>
      <c r="J13" s="50">
        <v>0.2</v>
      </c>
      <c r="K13" s="50">
        <v>0.3</v>
      </c>
      <c r="L13" s="50">
        <v>0.65</v>
      </c>
      <c r="M13" s="50">
        <f t="shared" si="7"/>
        <v>2.4909775770659008</v>
      </c>
      <c r="N13" s="51">
        <f t="shared" si="3"/>
        <v>192304.18232804249</v>
      </c>
      <c r="W13"/>
      <c r="X13"/>
    </row>
    <row r="14" spans="1:25" x14ac:dyDescent="0.35">
      <c r="A14" s="66">
        <v>8</v>
      </c>
      <c r="B14" s="66">
        <v>2029</v>
      </c>
      <c r="C14" s="43">
        <f t="shared" si="0"/>
        <v>5302.1862019737828</v>
      </c>
      <c r="D14" s="44">
        <f t="shared" si="1"/>
        <v>1172.0040750612882</v>
      </c>
      <c r="E14" s="45">
        <v>8.6</v>
      </c>
      <c r="F14" s="44">
        <f t="shared" si="4"/>
        <v>10079.235045527077</v>
      </c>
      <c r="G14" s="44">
        <f t="shared" ref="G14" si="11">E14*D14*366</f>
        <v>3689000.0266629104</v>
      </c>
      <c r="H14" s="46">
        <f t="shared" si="6"/>
        <v>1.9352979637204306</v>
      </c>
      <c r="I14" s="46">
        <v>0.15</v>
      </c>
      <c r="J14" s="46">
        <v>0.2</v>
      </c>
      <c r="K14" s="46">
        <v>0.3</v>
      </c>
      <c r="L14" s="46">
        <v>0.65</v>
      </c>
      <c r="M14" s="46">
        <f t="shared" si="7"/>
        <v>2.5158873528365593</v>
      </c>
      <c r="N14" s="52">
        <f t="shared" si="3"/>
        <v>194227.22415132285</v>
      </c>
      <c r="W14"/>
      <c r="X14"/>
    </row>
    <row r="15" spans="1:25" x14ac:dyDescent="0.35">
      <c r="A15" s="53">
        <v>9</v>
      </c>
      <c r="B15" s="53">
        <v>2030</v>
      </c>
      <c r="C15" s="47">
        <f t="shared" si="0"/>
        <v>5355.2080639935193</v>
      </c>
      <c r="D15" s="48">
        <f t="shared" si="1"/>
        <v>1183.7241158119009</v>
      </c>
      <c r="E15" s="49">
        <v>8.6</v>
      </c>
      <c r="F15" s="48">
        <f t="shared" si="4"/>
        <v>10180.027395982348</v>
      </c>
      <c r="G15" s="48">
        <f t="shared" ref="G15" si="12">E15*D15*365</f>
        <v>3715709.9995335569</v>
      </c>
      <c r="H15" s="50">
        <f t="shared" si="6"/>
        <v>1.9546509433576347</v>
      </c>
      <c r="I15" s="50">
        <v>0.15</v>
      </c>
      <c r="J15" s="50">
        <v>0.2</v>
      </c>
      <c r="K15" s="50">
        <v>0.3</v>
      </c>
      <c r="L15" s="50">
        <v>0.65</v>
      </c>
      <c r="M15" s="50">
        <f t="shared" si="7"/>
        <v>2.5410462263649247</v>
      </c>
      <c r="N15" s="51">
        <f t="shared" si="3"/>
        <v>196169.49639283607</v>
      </c>
      <c r="W15"/>
      <c r="X15"/>
    </row>
    <row r="16" spans="1:25" x14ac:dyDescent="0.35">
      <c r="A16" s="132">
        <v>10</v>
      </c>
      <c r="B16" s="66">
        <v>2031</v>
      </c>
      <c r="C16" s="43">
        <f t="shared" si="0"/>
        <v>5408.7601446334547</v>
      </c>
      <c r="D16" s="44">
        <f t="shared" si="1"/>
        <v>1195.5613569700199</v>
      </c>
      <c r="E16" s="45">
        <v>8.6</v>
      </c>
      <c r="F16" s="44">
        <f t="shared" si="4"/>
        <v>10281.827669942171</v>
      </c>
      <c r="G16" s="44">
        <f t="shared" ref="G16" si="13">E16*D16*366</f>
        <v>3763148.9271988347</v>
      </c>
      <c r="H16" s="46">
        <f t="shared" si="6"/>
        <v>1.9741974527912109</v>
      </c>
      <c r="I16" s="46">
        <v>0.15</v>
      </c>
      <c r="J16" s="46">
        <v>0.2</v>
      </c>
      <c r="K16" s="46">
        <v>0.3</v>
      </c>
      <c r="L16" s="46">
        <v>0.65</v>
      </c>
      <c r="M16" s="46">
        <f t="shared" si="7"/>
        <v>2.5664566886285738</v>
      </c>
      <c r="N16" s="52">
        <f t="shared" si="3"/>
        <v>198131.19135676444</v>
      </c>
      <c r="W16"/>
      <c r="X16"/>
    </row>
    <row r="17" spans="1:24" x14ac:dyDescent="0.35">
      <c r="A17" s="53">
        <v>11</v>
      </c>
      <c r="B17" s="53">
        <v>2032</v>
      </c>
      <c r="C17" s="47">
        <f t="shared" si="0"/>
        <v>5462.8477460797894</v>
      </c>
      <c r="D17" s="48">
        <f t="shared" si="1"/>
        <v>1207.5169705397202</v>
      </c>
      <c r="E17" s="49">
        <v>8.6</v>
      </c>
      <c r="F17" s="48">
        <f t="shared" si="4"/>
        <v>10384.645946641593</v>
      </c>
      <c r="G17" s="48">
        <f t="shared" ref="G17" si="14">E17*D17*365</f>
        <v>3790395.7705241814</v>
      </c>
      <c r="H17" s="50">
        <f t="shared" si="6"/>
        <v>1.9939394273191231</v>
      </c>
      <c r="I17" s="50">
        <v>0.15</v>
      </c>
      <c r="J17" s="50">
        <v>0.2</v>
      </c>
      <c r="K17" s="50">
        <v>0.3</v>
      </c>
      <c r="L17" s="50">
        <v>0.65</v>
      </c>
      <c r="M17" s="50">
        <f t="shared" si="7"/>
        <v>2.5921212555148596</v>
      </c>
      <c r="N17" s="51">
        <f t="shared" si="3"/>
        <v>200112.50327033209</v>
      </c>
      <c r="W17"/>
      <c r="X17"/>
    </row>
    <row r="18" spans="1:24" x14ac:dyDescent="0.35">
      <c r="A18" s="66">
        <v>12</v>
      </c>
      <c r="B18" s="66">
        <v>2033</v>
      </c>
      <c r="C18" s="43">
        <f t="shared" si="0"/>
        <v>5517.4762235405879</v>
      </c>
      <c r="D18" s="44">
        <f t="shared" si="1"/>
        <v>1219.5921402451174</v>
      </c>
      <c r="E18" s="45">
        <v>8.6</v>
      </c>
      <c r="F18" s="44">
        <f t="shared" si="4"/>
        <v>10488.492406108009</v>
      </c>
      <c r="G18" s="44">
        <f t="shared" ref="G18" si="15">E18*D18*366</f>
        <v>3838788.2206355315</v>
      </c>
      <c r="H18" s="46">
        <f t="shared" si="6"/>
        <v>2.0138788215923147</v>
      </c>
      <c r="I18" s="46">
        <v>0.15</v>
      </c>
      <c r="J18" s="46">
        <v>0.2</v>
      </c>
      <c r="K18" s="46">
        <v>0.3</v>
      </c>
      <c r="L18" s="46">
        <v>0.65</v>
      </c>
      <c r="M18" s="46">
        <f t="shared" si="7"/>
        <v>2.6180424680700085</v>
      </c>
      <c r="N18" s="52">
        <f t="shared" si="3"/>
        <v>202113.62830303542</v>
      </c>
      <c r="W18"/>
      <c r="X18"/>
    </row>
    <row r="19" spans="1:24" x14ac:dyDescent="0.35">
      <c r="A19" s="53">
        <v>13</v>
      </c>
      <c r="B19" s="53">
        <v>2034</v>
      </c>
      <c r="C19" s="47">
        <f t="shared" si="0"/>
        <v>5572.6509857759929</v>
      </c>
      <c r="D19" s="48">
        <f t="shared" si="1"/>
        <v>1231.7880616475684</v>
      </c>
      <c r="E19" s="49">
        <v>8.6</v>
      </c>
      <c r="F19" s="48">
        <f t="shared" si="4"/>
        <v>10593.377330169087</v>
      </c>
      <c r="G19" s="48">
        <f t="shared" ref="G19" si="16">E19*D19*365</f>
        <v>3866582.7255117167</v>
      </c>
      <c r="H19" s="50">
        <f t="shared" si="6"/>
        <v>2.0340176098082376</v>
      </c>
      <c r="I19" s="50">
        <v>0.15</v>
      </c>
      <c r="J19" s="50">
        <v>0.2</v>
      </c>
      <c r="K19" s="50">
        <v>0.3</v>
      </c>
      <c r="L19" s="50">
        <v>0.65</v>
      </c>
      <c r="M19" s="50">
        <f t="shared" si="7"/>
        <v>2.6442228927507085</v>
      </c>
      <c r="N19" s="51">
        <f t="shared" si="3"/>
        <v>204134.76458606578</v>
      </c>
      <c r="W19"/>
      <c r="X19"/>
    </row>
    <row r="20" spans="1:24" x14ac:dyDescent="0.35">
      <c r="A20" s="132">
        <v>14</v>
      </c>
      <c r="B20" s="66">
        <v>2035</v>
      </c>
      <c r="C20" s="43">
        <f t="shared" si="0"/>
        <v>5628.3774956337538</v>
      </c>
      <c r="D20" s="44">
        <f t="shared" si="1"/>
        <v>1244.1059422640444</v>
      </c>
      <c r="E20" s="45">
        <v>8.6</v>
      </c>
      <c r="F20" s="44">
        <f t="shared" si="4"/>
        <v>10699.311103470782</v>
      </c>
      <c r="G20" s="44">
        <f t="shared" ref="G20" si="17">E20*D20*366</f>
        <v>3915947.8638703059</v>
      </c>
      <c r="H20" s="46">
        <f t="shared" si="6"/>
        <v>2.05435778590632</v>
      </c>
      <c r="I20" s="46">
        <v>0.15</v>
      </c>
      <c r="J20" s="46">
        <v>0.2</v>
      </c>
      <c r="K20" s="46">
        <v>0.3</v>
      </c>
      <c r="L20" s="46">
        <v>0.65</v>
      </c>
      <c r="M20" s="46">
        <f t="shared" si="7"/>
        <v>2.6706651216782156</v>
      </c>
      <c r="N20" s="52">
        <f t="shared" si="3"/>
        <v>206176.11223192644</v>
      </c>
      <c r="W20"/>
      <c r="X20"/>
    </row>
    <row r="21" spans="1:24" x14ac:dyDescent="0.35">
      <c r="A21" s="53">
        <v>15</v>
      </c>
      <c r="B21" s="53">
        <v>2036</v>
      </c>
      <c r="C21" s="47">
        <f t="shared" si="0"/>
        <v>5684.6612705900916</v>
      </c>
      <c r="D21" s="48">
        <f t="shared" si="1"/>
        <v>1256.547001686685</v>
      </c>
      <c r="E21" s="49">
        <v>8.6</v>
      </c>
      <c r="F21" s="48">
        <f t="shared" si="4"/>
        <v>10806.304214505491</v>
      </c>
      <c r="G21" s="48">
        <f t="shared" ref="G21" si="18">E21*D21*365</f>
        <v>3944301.0382945044</v>
      </c>
      <c r="H21" s="50">
        <f t="shared" si="6"/>
        <v>2.0749013637653833</v>
      </c>
      <c r="I21" s="50">
        <v>0.15</v>
      </c>
      <c r="J21" s="50">
        <v>0.2</v>
      </c>
      <c r="K21" s="50">
        <v>0.3</v>
      </c>
      <c r="L21" s="50">
        <v>0.65</v>
      </c>
      <c r="M21" s="50">
        <f t="shared" si="7"/>
        <v>2.6973717728949977</v>
      </c>
      <c r="N21" s="51">
        <f t="shared" si="3"/>
        <v>208237.8733542457</v>
      </c>
      <c r="W21"/>
      <c r="X21"/>
    </row>
    <row r="22" spans="1:24" x14ac:dyDescent="0.35">
      <c r="A22" s="66">
        <v>16</v>
      </c>
      <c r="B22" s="66">
        <v>2037</v>
      </c>
      <c r="C22" s="43">
        <f t="shared" si="0"/>
        <v>5741.5078832959935</v>
      </c>
      <c r="D22" s="44">
        <f t="shared" si="1"/>
        <v>1269.1124717035518</v>
      </c>
      <c r="E22" s="45">
        <v>8.6</v>
      </c>
      <c r="F22" s="44">
        <f t="shared" si="4"/>
        <v>10914.367256650545</v>
      </c>
      <c r="G22" s="44">
        <f t="shared" ref="G22" si="19">E22*D22*366</f>
        <v>3994658.4159340994</v>
      </c>
      <c r="H22" s="46">
        <f t="shared" si="6"/>
        <v>2.0956503774030377</v>
      </c>
      <c r="I22" s="46">
        <v>0.15</v>
      </c>
      <c r="J22" s="46">
        <v>0.2</v>
      </c>
      <c r="K22" s="46">
        <v>0.3</v>
      </c>
      <c r="L22" s="46">
        <v>0.65</v>
      </c>
      <c r="M22" s="46">
        <f t="shared" si="7"/>
        <v>2.7243454906239486</v>
      </c>
      <c r="N22" s="52">
        <f t="shared" si="3"/>
        <v>210320.25208778822</v>
      </c>
      <c r="W22"/>
      <c r="X22"/>
    </row>
    <row r="23" spans="1:24" x14ac:dyDescent="0.35">
      <c r="A23" s="53">
        <v>17</v>
      </c>
      <c r="B23" s="53">
        <v>2038</v>
      </c>
      <c r="C23" s="47">
        <f t="shared" si="0"/>
        <v>5798.9229621289514</v>
      </c>
      <c r="D23" s="48">
        <f t="shared" si="1"/>
        <v>1281.8035964205872</v>
      </c>
      <c r="E23" s="49">
        <v>8.6</v>
      </c>
      <c r="F23" s="48">
        <f t="shared" si="4"/>
        <v>11023.510929217049</v>
      </c>
      <c r="G23" s="48">
        <f t="shared" ref="G23" si="20">E23*D23*365</f>
        <v>4023581.489164223</v>
      </c>
      <c r="H23" s="50">
        <f t="shared" si="6"/>
        <v>2.1166068811770673</v>
      </c>
      <c r="I23" s="50">
        <v>0.15</v>
      </c>
      <c r="J23" s="50">
        <v>0.2</v>
      </c>
      <c r="K23" s="50">
        <v>0.3</v>
      </c>
      <c r="L23" s="50">
        <v>0.65</v>
      </c>
      <c r="M23" s="50">
        <f t="shared" si="7"/>
        <v>2.751588945530187</v>
      </c>
      <c r="N23" s="51">
        <f t="shared" si="3"/>
        <v>212423.45460866601</v>
      </c>
      <c r="W23"/>
      <c r="X23"/>
    </row>
    <row r="24" spans="1:24" x14ac:dyDescent="0.35">
      <c r="A24" s="132">
        <v>18</v>
      </c>
      <c r="B24" s="66">
        <v>2039</v>
      </c>
      <c r="C24" s="43">
        <f t="shared" si="0"/>
        <v>5856.9121917502416</v>
      </c>
      <c r="D24" s="44">
        <f t="shared" si="1"/>
        <v>1294.621632384793</v>
      </c>
      <c r="E24" s="45">
        <v>8.6</v>
      </c>
      <c r="F24" s="44">
        <f t="shared" si="4"/>
        <v>11133.74603850922</v>
      </c>
      <c r="G24" s="44">
        <f t="shared" ref="G24" si="21">E24*D24*366</f>
        <v>4074951.0500943745</v>
      </c>
      <c r="H24" s="46">
        <f t="shared" si="6"/>
        <v>2.1377729499888383</v>
      </c>
      <c r="I24" s="46">
        <v>0.15</v>
      </c>
      <c r="J24" s="46">
        <v>0.2</v>
      </c>
      <c r="K24" s="46">
        <v>0.3</v>
      </c>
      <c r="L24" s="46">
        <v>0.65</v>
      </c>
      <c r="M24" s="46">
        <f t="shared" si="7"/>
        <v>2.7791048349854894</v>
      </c>
      <c r="N24" s="52">
        <f t="shared" si="3"/>
        <v>214547.6891547527</v>
      </c>
      <c r="W24"/>
      <c r="X24"/>
    </row>
    <row r="25" spans="1:24" x14ac:dyDescent="0.35">
      <c r="A25" s="53">
        <v>19</v>
      </c>
      <c r="B25" s="53">
        <v>2040</v>
      </c>
      <c r="C25" s="47">
        <f t="shared" si="0"/>
        <v>5915.481313667744</v>
      </c>
      <c r="D25" s="48">
        <f t="shared" si="1"/>
        <v>1307.5678487086409</v>
      </c>
      <c r="E25" s="49">
        <v>8.6</v>
      </c>
      <c r="F25" s="48">
        <f t="shared" si="4"/>
        <v>11245.083498894312</v>
      </c>
      <c r="G25" s="48">
        <f t="shared" ref="G25" si="22">E25*D25*365</f>
        <v>4104455.4770964235</v>
      </c>
      <c r="H25" s="50">
        <f t="shared" si="6"/>
        <v>2.1591506794887265</v>
      </c>
      <c r="I25" s="50">
        <v>0.15</v>
      </c>
      <c r="J25" s="50">
        <v>0.2</v>
      </c>
      <c r="K25" s="50">
        <v>0.3</v>
      </c>
      <c r="L25" s="50">
        <v>0.65</v>
      </c>
      <c r="M25" s="50">
        <f t="shared" si="7"/>
        <v>2.8068958833353439</v>
      </c>
      <c r="N25" s="51">
        <f t="shared" si="3"/>
        <v>216693.1660463002</v>
      </c>
      <c r="W25"/>
      <c r="X25"/>
    </row>
    <row r="26" spans="1:24" x14ac:dyDescent="0.35">
      <c r="A26" s="66">
        <v>20</v>
      </c>
      <c r="B26" s="66">
        <v>2041</v>
      </c>
      <c r="C26" s="43">
        <f t="shared" si="0"/>
        <v>5974.6361268044229</v>
      </c>
      <c r="D26" s="44">
        <f t="shared" si="1"/>
        <v>1320.6435271957275</v>
      </c>
      <c r="E26" s="45">
        <v>8.6</v>
      </c>
      <c r="F26" s="44">
        <f t="shared" si="4"/>
        <v>11357.534333883255</v>
      </c>
      <c r="G26" s="44">
        <f t="shared" ref="G26" si="23">E26*D26*366</f>
        <v>4156857.5662012715</v>
      </c>
      <c r="H26" s="46">
        <f t="shared" si="6"/>
        <v>2.1807421862836143</v>
      </c>
      <c r="I26" s="46">
        <v>0.15</v>
      </c>
      <c r="J26" s="46">
        <v>0.2</v>
      </c>
      <c r="K26" s="46">
        <v>0.3</v>
      </c>
      <c r="L26" s="46">
        <v>0.65</v>
      </c>
      <c r="M26" s="46">
        <f t="shared" si="7"/>
        <v>2.8349648421686982</v>
      </c>
      <c r="N26" s="52">
        <f t="shared" si="3"/>
        <v>218860.09770676328</v>
      </c>
      <c r="W26"/>
      <c r="X26"/>
    </row>
    <row r="27" spans="1:24" x14ac:dyDescent="0.35">
      <c r="A27" s="53"/>
      <c r="B27" s="53"/>
      <c r="C27" s="47"/>
      <c r="D27" s="48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W27"/>
      <c r="X27"/>
    </row>
    <row r="28" spans="1:24" x14ac:dyDescent="0.35">
      <c r="A28" s="132"/>
      <c r="B28" s="66"/>
      <c r="C28" s="43"/>
      <c r="D28" s="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W28"/>
      <c r="X28"/>
    </row>
    <row r="29" spans="1:24" x14ac:dyDescent="0.35">
      <c r="A29" s="53"/>
      <c r="B29" s="53"/>
      <c r="C29" s="47"/>
      <c r="D29" s="48"/>
      <c r="E29" s="53"/>
      <c r="F29" s="48"/>
      <c r="G29" s="48"/>
      <c r="H29" s="50"/>
      <c r="I29" s="50"/>
      <c r="J29" s="50"/>
      <c r="K29" s="50"/>
      <c r="L29" s="50"/>
      <c r="M29" s="50"/>
      <c r="N29" s="50"/>
      <c r="W29"/>
      <c r="X29"/>
    </row>
    <row r="30" spans="1:24" x14ac:dyDescent="0.35">
      <c r="A30" s="66"/>
      <c r="B30" s="66"/>
      <c r="C30" s="94"/>
      <c r="D30" s="94"/>
      <c r="E30" s="94"/>
      <c r="F30" s="94"/>
      <c r="G30" s="94"/>
      <c r="H30" s="66"/>
      <c r="I30" s="66"/>
      <c r="J30" s="66"/>
      <c r="K30" s="66"/>
      <c r="L30" s="66"/>
      <c r="M30" s="94"/>
      <c r="N30" s="94"/>
      <c r="W30"/>
      <c r="X30"/>
    </row>
    <row r="31" spans="1:24" ht="15" thickBot="1" x14ac:dyDescent="0.4">
      <c r="A31" s="54"/>
      <c r="B31" s="54"/>
      <c r="C31" s="54"/>
      <c r="D31" s="54"/>
      <c r="E31" s="54"/>
      <c r="F31" s="55"/>
      <c r="G31" s="56">
        <f>SUM(G4:G30)</f>
        <v>75659934.990972236</v>
      </c>
      <c r="H31" s="57"/>
      <c r="I31" s="57"/>
      <c r="J31" s="57"/>
      <c r="K31" s="57"/>
      <c r="L31" s="57"/>
      <c r="M31" s="54"/>
      <c r="N31" s="58">
        <f>SUM(N4:N30)</f>
        <v>3988946.0002242252</v>
      </c>
      <c r="W31"/>
      <c r="X31"/>
    </row>
    <row r="32" spans="1:24" ht="15" thickTop="1" x14ac:dyDescent="0.35"/>
    <row r="33" spans="1:22" x14ac:dyDescent="0.35">
      <c r="A33" t="s">
        <v>53</v>
      </c>
      <c r="B33" s="20"/>
      <c r="V33" s="30"/>
    </row>
    <row r="34" spans="1:22" x14ac:dyDescent="0.35">
      <c r="A34" s="20" t="s">
        <v>52</v>
      </c>
    </row>
    <row r="35" spans="1:22" x14ac:dyDescent="0.35">
      <c r="A35" s="20" t="s">
        <v>95</v>
      </c>
    </row>
    <row r="36" spans="1:22" x14ac:dyDescent="0.35">
      <c r="A36" s="20" t="s">
        <v>225</v>
      </c>
    </row>
    <row r="37" spans="1:22" x14ac:dyDescent="0.35">
      <c r="A37" s="20" t="s">
        <v>141</v>
      </c>
    </row>
    <row r="38" spans="1:22" x14ac:dyDescent="0.35">
      <c r="A38" s="20" t="s">
        <v>46</v>
      </c>
    </row>
    <row r="39" spans="1:22" x14ac:dyDescent="0.35">
      <c r="A39" s="20" t="s">
        <v>47</v>
      </c>
    </row>
    <row r="40" spans="1:22" x14ac:dyDescent="0.35">
      <c r="A40" s="42" t="s">
        <v>199</v>
      </c>
      <c r="B40" s="29"/>
    </row>
    <row r="41" spans="1:22" x14ac:dyDescent="0.35">
      <c r="A41" s="42" t="s">
        <v>194</v>
      </c>
      <c r="B41" s="29"/>
      <c r="F41" t="s">
        <v>204</v>
      </c>
    </row>
    <row r="42" spans="1:22" x14ac:dyDescent="0.35">
      <c r="A42" s="42" t="s">
        <v>195</v>
      </c>
      <c r="B42" s="29"/>
    </row>
    <row r="43" spans="1:22" x14ac:dyDescent="0.35">
      <c r="A43" s="42" t="s">
        <v>196</v>
      </c>
      <c r="B43" s="29"/>
      <c r="K43" s="146" t="s">
        <v>202</v>
      </c>
      <c r="L43" s="146"/>
      <c r="N43" s="22" t="s">
        <v>203</v>
      </c>
    </row>
    <row r="44" spans="1:22" ht="29" x14ac:dyDescent="0.35">
      <c r="A44" s="42" t="s">
        <v>197</v>
      </c>
      <c r="B44" s="29"/>
      <c r="K44" s="92" t="s">
        <v>44</v>
      </c>
      <c r="L44" s="92" t="s">
        <v>123</v>
      </c>
      <c r="M44" s="59"/>
      <c r="N44" s="92" t="s">
        <v>130</v>
      </c>
    </row>
    <row r="45" spans="1:22" x14ac:dyDescent="0.35">
      <c r="A45" s="42" t="s">
        <v>198</v>
      </c>
      <c r="B45" s="29"/>
      <c r="K45" s="53">
        <v>1</v>
      </c>
      <c r="L45" s="52">
        <f>N7/(1.03^A7)</f>
        <v>175882.75600154229</v>
      </c>
      <c r="M45" s="59"/>
      <c r="N45" s="51">
        <f t="shared" ref="N45:N64" si="24">L45/(1.07/1.03)^K45</f>
        <v>169307.69970241922</v>
      </c>
    </row>
    <row r="46" spans="1:22" x14ac:dyDescent="0.35">
      <c r="A46" s="42" t="s">
        <v>200</v>
      </c>
      <c r="B46" s="29"/>
      <c r="K46" s="66">
        <v>2</v>
      </c>
      <c r="L46" s="52">
        <f>N8/(1.03^A8)</f>
        <v>172467.55685588132</v>
      </c>
      <c r="M46" s="59"/>
      <c r="N46" s="52">
        <f>L46/(1.07/1.03)^K46</f>
        <v>159813.80999947988</v>
      </c>
    </row>
    <row r="47" spans="1:22" x14ac:dyDescent="0.35">
      <c r="A47" s="42"/>
      <c r="B47" s="29"/>
      <c r="K47" s="53">
        <v>3</v>
      </c>
      <c r="L47" s="51">
        <f>N9/(1.03^A9)</f>
        <v>169118.67225673798</v>
      </c>
      <c r="M47" s="59"/>
      <c r="N47" s="51">
        <f t="shared" si="24"/>
        <v>150852.28794343426</v>
      </c>
    </row>
    <row r="48" spans="1:22" x14ac:dyDescent="0.35">
      <c r="A48" s="32" t="s">
        <v>218</v>
      </c>
      <c r="K48" s="66">
        <v>4</v>
      </c>
      <c r="L48" s="52">
        <f t="shared" ref="L48:L57" si="25">N10/(1.03^A10)</f>
        <v>165834.81454301495</v>
      </c>
      <c r="M48" s="59"/>
      <c r="N48" s="52">
        <f t="shared" si="24"/>
        <v>142393.28114286787</v>
      </c>
    </row>
    <row r="49" spans="1:24" x14ac:dyDescent="0.35">
      <c r="A49" s="18" t="s">
        <v>38</v>
      </c>
      <c r="K49" s="53">
        <v>5</v>
      </c>
      <c r="L49" s="51">
        <f t="shared" si="25"/>
        <v>162614.7210567428</v>
      </c>
      <c r="M49" s="59"/>
      <c r="N49" s="51">
        <f t="shared" si="24"/>
        <v>134408.61117223976</v>
      </c>
    </row>
    <row r="50" spans="1:24" x14ac:dyDescent="0.35">
      <c r="A50" s="42"/>
      <c r="B50" s="29"/>
      <c r="K50" s="66">
        <v>6</v>
      </c>
      <c r="L50" s="52">
        <f t="shared" si="25"/>
        <v>159457.15365758273</v>
      </c>
      <c r="M50" s="59"/>
      <c r="N50" s="52">
        <f t="shared" si="24"/>
        <v>126871.67970463753</v>
      </c>
    </row>
    <row r="51" spans="1:24" x14ac:dyDescent="0.35">
      <c r="A51" s="8" t="s">
        <v>170</v>
      </c>
      <c r="B51" s="32" t="s">
        <v>165</v>
      </c>
      <c r="K51" s="53">
        <v>7</v>
      </c>
      <c r="L51" s="51">
        <f t="shared" si="25"/>
        <v>156360.89824675594</v>
      </c>
      <c r="M51" s="59"/>
      <c r="N51" s="51">
        <f t="shared" si="24"/>
        <v>119757.37990811584</v>
      </c>
    </row>
    <row r="52" spans="1:24" x14ac:dyDescent="0.35">
      <c r="A52" s="31" t="s">
        <v>166</v>
      </c>
      <c r="B52">
        <v>15</v>
      </c>
      <c r="K52" s="66">
        <v>8</v>
      </c>
      <c r="L52" s="52">
        <f t="shared" si="25"/>
        <v>153324.76430021695</v>
      </c>
      <c r="M52" s="59"/>
      <c r="N52" s="52">
        <f t="shared" si="24"/>
        <v>113042.01281046447</v>
      </c>
      <c r="W52"/>
      <c r="X52"/>
    </row>
    <row r="53" spans="1:24" x14ac:dyDescent="0.35">
      <c r="A53" s="31" t="s">
        <v>167</v>
      </c>
      <c r="B53">
        <v>20</v>
      </c>
      <c r="K53" s="53">
        <v>9</v>
      </c>
      <c r="L53" s="51">
        <f>N15/(1.03^A15)</f>
        <v>150347.58441089233</v>
      </c>
      <c r="M53" s="59"/>
      <c r="N53" s="51">
        <f t="shared" si="24"/>
        <v>106703.2083538029</v>
      </c>
      <c r="W53"/>
      <c r="X53"/>
    </row>
    <row r="54" spans="1:24" x14ac:dyDescent="0.35">
      <c r="A54" s="31" t="s">
        <v>168</v>
      </c>
      <c r="B54">
        <v>30</v>
      </c>
      <c r="K54" s="66">
        <v>10</v>
      </c>
      <c r="L54" s="52">
        <f t="shared" si="25"/>
        <v>147428.21383980705</v>
      </c>
      <c r="M54" s="59"/>
      <c r="N54" s="52">
        <f t="shared" si="24"/>
        <v>100719.85087601957</v>
      </c>
      <c r="W54"/>
      <c r="X54"/>
    </row>
    <row r="55" spans="1:24" x14ac:dyDescent="0.35">
      <c r="A55" s="31" t="s">
        <v>169</v>
      </c>
      <c r="B55">
        <v>65</v>
      </c>
      <c r="K55" s="53">
        <v>11</v>
      </c>
      <c r="L55" s="51">
        <f t="shared" si="25"/>
        <v>144565.53007592729</v>
      </c>
      <c r="M55" s="59"/>
      <c r="N55" s="51">
        <f t="shared" si="24"/>
        <v>95072.008770822198</v>
      </c>
      <c r="W55"/>
      <c r="X55"/>
    </row>
    <row r="56" spans="1:24" x14ac:dyDescent="0.35">
      <c r="B56"/>
      <c r="K56" s="66">
        <v>12</v>
      </c>
      <c r="L56" s="52">
        <f t="shared" si="25"/>
        <v>141758.43240455011</v>
      </c>
      <c r="M56" s="59"/>
      <c r="N56" s="52">
        <f t="shared" si="24"/>
        <v>89740.868092084536</v>
      </c>
      <c r="W56"/>
      <c r="X56"/>
    </row>
    <row r="57" spans="1:24" x14ac:dyDescent="0.35">
      <c r="A57" s="146" t="s">
        <v>162</v>
      </c>
      <c r="B57" s="146"/>
      <c r="C57" s="146"/>
      <c r="D57" s="146"/>
      <c r="E57" s="146"/>
      <c r="K57" s="53">
        <v>13</v>
      </c>
      <c r="L57" s="51">
        <f t="shared" si="25"/>
        <v>139005.8414840734</v>
      </c>
      <c r="M57" s="59"/>
      <c r="N57" s="51">
        <f t="shared" si="24"/>
        <v>84708.669881313443</v>
      </c>
      <c r="W57"/>
      <c r="X57"/>
    </row>
    <row r="58" spans="1:24" ht="43.5" x14ac:dyDescent="0.35">
      <c r="A58" s="92" t="s">
        <v>159</v>
      </c>
      <c r="B58" s="92" t="s">
        <v>158</v>
      </c>
      <c r="C58" s="92" t="s">
        <v>234</v>
      </c>
      <c r="D58" s="92" t="s">
        <v>154</v>
      </c>
      <c r="E58" s="92" t="s">
        <v>164</v>
      </c>
      <c r="K58" s="66">
        <v>14</v>
      </c>
      <c r="L58" s="52">
        <f>N20/(1.03^A20)</f>
        <v>136306.6989309846</v>
      </c>
      <c r="M58" s="59"/>
      <c r="N58" s="52">
        <f t="shared" si="24"/>
        <v>79958.651009464083</v>
      </c>
      <c r="W58"/>
      <c r="X58"/>
    </row>
    <row r="59" spans="1:24" x14ac:dyDescent="0.35">
      <c r="A59" s="46" t="s">
        <v>156</v>
      </c>
      <c r="B59" s="46" t="s">
        <v>151</v>
      </c>
      <c r="C59" s="46">
        <f>(149+65)/10</f>
        <v>21.4</v>
      </c>
      <c r="D59" s="52">
        <v>4300</v>
      </c>
      <c r="E59" s="52">
        <f>C59*D59</f>
        <v>92020</v>
      </c>
      <c r="K59" s="53">
        <v>15</v>
      </c>
      <c r="L59" s="51">
        <f>N21/(1.03^A21)</f>
        <v>133659.96691290723</v>
      </c>
      <c r="M59" s="59"/>
      <c r="N59" s="51">
        <f t="shared" si="24"/>
        <v>75474.988336036186</v>
      </c>
      <c r="W59"/>
      <c r="X59"/>
    </row>
    <row r="60" spans="1:24" x14ac:dyDescent="0.35">
      <c r="A60" s="50" t="s">
        <v>155</v>
      </c>
      <c r="B60" s="50" t="s">
        <v>152</v>
      </c>
      <c r="C60" s="50">
        <f>(10+18)/10</f>
        <v>2.8</v>
      </c>
      <c r="D60" s="51">
        <v>174000</v>
      </c>
      <c r="E60" s="51">
        <f>C60*D60</f>
        <v>487199.99999999994</v>
      </c>
      <c r="K60" s="66">
        <v>16</v>
      </c>
      <c r="L60" s="52">
        <f t="shared" ref="L60:L64" si="26">N22/(1.03^A22)</f>
        <v>131064.62774954985</v>
      </c>
      <c r="M60" s="59"/>
      <c r="N60" s="52">
        <f t="shared" si="24"/>
        <v>71242.745999436069</v>
      </c>
      <c r="W60"/>
      <c r="X60"/>
    </row>
    <row r="61" spans="1:24" x14ac:dyDescent="0.35">
      <c r="A61" s="46" t="s">
        <v>157</v>
      </c>
      <c r="B61" s="46" t="s">
        <v>153</v>
      </c>
      <c r="C61" s="46">
        <f>1/10</f>
        <v>0.1</v>
      </c>
      <c r="D61" s="52">
        <v>9600000</v>
      </c>
      <c r="E61" s="52">
        <f>C61*D61</f>
        <v>960000</v>
      </c>
      <c r="K61" s="53">
        <v>17</v>
      </c>
      <c r="L61" s="51">
        <f t="shared" si="26"/>
        <v>128519.6835214032</v>
      </c>
      <c r="M61" s="59"/>
      <c r="N61" s="51">
        <f t="shared" si="24"/>
        <v>67247.825663019074</v>
      </c>
      <c r="W61"/>
      <c r="X61"/>
    </row>
    <row r="62" spans="1:24" ht="15" thickBot="1" x14ac:dyDescent="0.4">
      <c r="A62" s="59"/>
      <c r="B62" s="59"/>
      <c r="C62" s="59"/>
      <c r="D62" s="59"/>
      <c r="E62" s="60">
        <f>SUM(E59:E61)</f>
        <v>1539220</v>
      </c>
      <c r="K62" s="66">
        <v>18</v>
      </c>
      <c r="L62" s="52">
        <f t="shared" si="26"/>
        <v>126024.15568603616</v>
      </c>
      <c r="M62" s="59"/>
      <c r="N62" s="52">
        <f t="shared" si="24"/>
        <v>63476.919551074083</v>
      </c>
      <c r="W62"/>
      <c r="X62"/>
    </row>
    <row r="63" spans="1:24" x14ac:dyDescent="0.35">
      <c r="A63" s="59"/>
      <c r="B63" s="59"/>
      <c r="C63" s="59"/>
      <c r="D63" s="59"/>
      <c r="E63" s="59"/>
      <c r="K63" s="53">
        <v>19</v>
      </c>
      <c r="L63" s="51">
        <f>N25/(1.03^A25)</f>
        <v>123577.08470184128</v>
      </c>
      <c r="M63" s="59"/>
      <c r="N63" s="51">
        <f t="shared" si="24"/>
        <v>59917.466118303571</v>
      </c>
      <c r="W63"/>
      <c r="X63"/>
    </row>
    <row r="64" spans="1:24" ht="29" x14ac:dyDescent="0.35">
      <c r="A64" s="92" t="s">
        <v>160</v>
      </c>
      <c r="B64" s="92" t="s">
        <v>161</v>
      </c>
      <c r="C64" s="92" t="s">
        <v>163</v>
      </c>
      <c r="D64" s="59"/>
      <c r="E64" s="59"/>
      <c r="K64" s="66">
        <v>20</v>
      </c>
      <c r="L64" s="52">
        <f t="shared" si="26"/>
        <v>121177.52965908711</v>
      </c>
      <c r="M64" s="59"/>
      <c r="N64" s="52">
        <f t="shared" si="24"/>
        <v>56557.608205127683</v>
      </c>
      <c r="W64"/>
      <c r="X64"/>
    </row>
    <row r="65" spans="1:24" x14ac:dyDescent="0.35">
      <c r="A65" s="46">
        <f>SUM(C59:C61)</f>
        <v>24.3</v>
      </c>
      <c r="B65" s="52">
        <v>4327</v>
      </c>
      <c r="C65" s="52">
        <f>B65*A65</f>
        <v>105146.1</v>
      </c>
      <c r="D65" s="59"/>
      <c r="E65" s="59"/>
      <c r="K65" s="53"/>
      <c r="L65" s="61"/>
      <c r="M65" s="59"/>
      <c r="N65" s="61"/>
      <c r="W65"/>
      <c r="X65"/>
    </row>
    <row r="66" spans="1:24" x14ac:dyDescent="0.35">
      <c r="B66"/>
      <c r="K66" s="66"/>
      <c r="L66" s="96"/>
      <c r="M66" s="59"/>
      <c r="N66" s="96"/>
      <c r="W66"/>
      <c r="X66"/>
    </row>
    <row r="67" spans="1:24" ht="29.5" thickBot="1" x14ac:dyDescent="0.4">
      <c r="B67" s="39" t="s">
        <v>201</v>
      </c>
      <c r="C67" s="38">
        <f>(E62+C65)/21.3</f>
        <v>77200.286384976527</v>
      </c>
      <c r="K67" s="54"/>
      <c r="L67" s="62">
        <f>SUM(L45:L64)</f>
        <v>2938496.686295534</v>
      </c>
      <c r="M67" s="59"/>
      <c r="N67" s="62">
        <f t="shared" ref="N67" si="27">SUM(N45:N64)</f>
        <v>2067267.5732401621</v>
      </c>
      <c r="W67"/>
      <c r="X67"/>
    </row>
    <row r="68" spans="1:24" ht="15" thickTop="1" x14ac:dyDescent="0.35">
      <c r="K68" s="1"/>
      <c r="L68" s="1"/>
      <c r="W68"/>
      <c r="X68"/>
    </row>
    <row r="69" spans="1:24" x14ac:dyDescent="0.35">
      <c r="K69" s="1"/>
      <c r="L69" s="1"/>
      <c r="W69"/>
      <c r="X69"/>
    </row>
    <row r="70" spans="1:24" x14ac:dyDescent="0.35">
      <c r="K70" s="1"/>
      <c r="L70" s="1"/>
      <c r="W70"/>
      <c r="X70"/>
    </row>
    <row r="71" spans="1:24" x14ac:dyDescent="0.35">
      <c r="K71" s="1"/>
      <c r="L71" s="1"/>
      <c r="W71"/>
      <c r="X71"/>
    </row>
    <row r="72" spans="1:24" x14ac:dyDescent="0.35">
      <c r="K72" s="1"/>
      <c r="L72" s="1"/>
      <c r="W72"/>
      <c r="X72"/>
    </row>
    <row r="73" spans="1:24" x14ac:dyDescent="0.35">
      <c r="K73" s="1"/>
      <c r="L73" s="1"/>
      <c r="W73"/>
      <c r="X73"/>
    </row>
    <row r="74" spans="1:24" x14ac:dyDescent="0.35">
      <c r="K74" s="1"/>
      <c r="L74" s="1"/>
      <c r="W74"/>
      <c r="X74"/>
    </row>
    <row r="75" spans="1:24" x14ac:dyDescent="0.35">
      <c r="K75" s="1"/>
      <c r="L75" s="1"/>
      <c r="W75"/>
      <c r="X75"/>
    </row>
  </sheetData>
  <mergeCells count="2">
    <mergeCell ref="A57:E57"/>
    <mergeCell ref="K43:L43"/>
  </mergeCells>
  <hyperlinks>
    <hyperlink ref="B51" r:id="rId1" location="linktarget_t8" xr:uid="{00000000-0004-0000-0100-000000000000}"/>
    <hyperlink ref="A48" r:id="rId2" xr:uid="{00000000-0004-0000-0100-000001000000}"/>
  </hyperlinks>
  <pageMargins left="0.7" right="0.7" top="0.75" bottom="0.75" header="0.3" footer="0.3"/>
  <pageSetup scale="3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3"/>
  <sheetViews>
    <sheetView zoomScale="90" zoomScaleNormal="90" workbookViewId="0">
      <pane ySplit="3" topLeftCell="A4" activePane="bottomLeft" state="frozen"/>
      <selection pane="bottomLeft" activeCell="J65" sqref="J65"/>
    </sheetView>
  </sheetViews>
  <sheetFormatPr defaultRowHeight="14.5" x14ac:dyDescent="0.35"/>
  <cols>
    <col min="1" max="1" width="12.54296875" style="1" customWidth="1"/>
    <col min="2" max="10" width="12.54296875" customWidth="1"/>
    <col min="11" max="11" width="14.54296875" customWidth="1"/>
    <col min="12" max="12" width="15" customWidth="1"/>
    <col min="13" max="17" width="12.54296875" customWidth="1"/>
    <col min="18" max="19" width="12.54296875" style="1" customWidth="1"/>
    <col min="20" max="21" width="12.54296875" customWidth="1"/>
  </cols>
  <sheetData>
    <row r="1" spans="1:29" ht="15.5" x14ac:dyDescent="0.35">
      <c r="A1" s="104" t="s">
        <v>220</v>
      </c>
      <c r="K1" s="28"/>
      <c r="L1" s="28"/>
      <c r="M1" s="28"/>
      <c r="N1" s="28"/>
    </row>
    <row r="2" spans="1:29" x14ac:dyDescent="0.35">
      <c r="K2" s="28"/>
      <c r="L2" s="28"/>
      <c r="M2" s="28"/>
      <c r="N2" s="28"/>
    </row>
    <row r="3" spans="1:29" s="2" customFormat="1" ht="58" x14ac:dyDescent="0.35">
      <c r="A3" s="92" t="s">
        <v>44</v>
      </c>
      <c r="B3" s="92" t="s">
        <v>0</v>
      </c>
      <c r="C3" s="92" t="s">
        <v>1</v>
      </c>
      <c r="D3" s="92" t="s">
        <v>33</v>
      </c>
      <c r="E3" s="92" t="s">
        <v>34</v>
      </c>
      <c r="F3" s="92" t="s">
        <v>4</v>
      </c>
      <c r="G3" s="92" t="s">
        <v>6</v>
      </c>
      <c r="H3" s="92" t="s">
        <v>5</v>
      </c>
      <c r="I3" s="92" t="s">
        <v>102</v>
      </c>
      <c r="J3" s="92" t="s">
        <v>7</v>
      </c>
      <c r="K3" s="92" t="s">
        <v>41</v>
      </c>
      <c r="L3" s="92" t="s">
        <v>108</v>
      </c>
      <c r="M3" s="92" t="s">
        <v>40</v>
      </c>
      <c r="N3" s="92" t="s">
        <v>120</v>
      </c>
      <c r="O3" s="23"/>
      <c r="P3" s="23"/>
      <c r="Q3" s="23"/>
      <c r="R3" s="23"/>
      <c r="S3" s="23"/>
      <c r="T3" s="23"/>
      <c r="U3" s="23"/>
      <c r="V3" s="23"/>
    </row>
    <row r="4" spans="1:29" s="1" customFormat="1" x14ac:dyDescent="0.35">
      <c r="A4" s="53">
        <v>0</v>
      </c>
      <c r="B4" s="53">
        <v>2019</v>
      </c>
      <c r="C4" s="47">
        <v>4800</v>
      </c>
      <c r="D4" s="48">
        <v>0</v>
      </c>
      <c r="E4" s="53"/>
      <c r="F4" s="48"/>
      <c r="G4" s="48"/>
      <c r="H4" s="48"/>
      <c r="I4" s="64"/>
      <c r="J4" s="47"/>
      <c r="K4" s="65"/>
      <c r="L4" s="65"/>
      <c r="M4" s="65"/>
      <c r="N4" s="64"/>
      <c r="O4" s="24"/>
      <c r="P4" s="24"/>
      <c r="Q4" s="25"/>
      <c r="R4" s="25"/>
      <c r="S4" s="26"/>
      <c r="T4" s="26"/>
      <c r="U4" s="26"/>
      <c r="V4" s="13"/>
    </row>
    <row r="5" spans="1:29" s="1" customFormat="1" x14ac:dyDescent="0.35">
      <c r="A5" s="66">
        <v>0</v>
      </c>
      <c r="B5" s="132">
        <v>2020</v>
      </c>
      <c r="C5" s="133">
        <f t="shared" ref="C5:C26" si="0">$C$4*(1.01)^(B5-$B$4)</f>
        <v>4848</v>
      </c>
      <c r="D5" s="44">
        <v>0</v>
      </c>
      <c r="E5" s="66"/>
      <c r="F5" s="44"/>
      <c r="G5" s="44"/>
      <c r="H5" s="44"/>
      <c r="I5" s="67"/>
      <c r="J5" s="43"/>
      <c r="K5" s="68"/>
      <c r="L5" s="68"/>
      <c r="M5" s="68"/>
      <c r="N5" s="67"/>
      <c r="O5" s="24"/>
      <c r="P5" s="24"/>
      <c r="Q5" s="25"/>
      <c r="R5" s="25"/>
      <c r="S5" s="26"/>
      <c r="T5" s="26"/>
      <c r="U5" s="26"/>
      <c r="V5" s="13"/>
    </row>
    <row r="6" spans="1:29" s="1" customFormat="1" x14ac:dyDescent="0.35">
      <c r="A6" s="53">
        <v>0</v>
      </c>
      <c r="B6" s="53">
        <v>2021</v>
      </c>
      <c r="C6" s="47">
        <f t="shared" si="0"/>
        <v>4896.4800000000005</v>
      </c>
      <c r="D6" s="48">
        <v>0</v>
      </c>
      <c r="E6" s="53"/>
      <c r="F6" s="48"/>
      <c r="G6" s="48"/>
      <c r="H6" s="48"/>
      <c r="I6" s="64"/>
      <c r="J6" s="47"/>
      <c r="K6" s="65"/>
      <c r="L6" s="65"/>
      <c r="M6" s="65"/>
      <c r="N6" s="64"/>
      <c r="O6" s="24"/>
      <c r="P6" s="24"/>
      <c r="Q6" s="25"/>
      <c r="R6" s="25"/>
      <c r="S6" s="26"/>
      <c r="T6" s="26"/>
      <c r="U6" s="26"/>
      <c r="V6" s="13"/>
    </row>
    <row r="7" spans="1:29" x14ac:dyDescent="0.35">
      <c r="A7" s="66">
        <v>1</v>
      </c>
      <c r="B7" s="132">
        <v>2022</v>
      </c>
      <c r="C7" s="133">
        <f t="shared" si="0"/>
        <v>4945.4447999999993</v>
      </c>
      <c r="D7" s="44">
        <v>1</v>
      </c>
      <c r="E7" s="66">
        <v>1</v>
      </c>
      <c r="F7" s="44">
        <f>C7*D7/100*E7</f>
        <v>49.454447999999992</v>
      </c>
      <c r="G7" s="44">
        <f>F7*365</f>
        <v>18050.873519999997</v>
      </c>
      <c r="H7" s="44">
        <f>G7/20</f>
        <v>902.54367599999989</v>
      </c>
      <c r="I7" s="67">
        <f>G7*0.39</f>
        <v>7039.8406727999991</v>
      </c>
      <c r="J7" s="43">
        <v>7</v>
      </c>
      <c r="K7" s="68">
        <v>46</v>
      </c>
      <c r="L7" s="101">
        <f>K7*(242.839/207.342)</f>
        <v>53.875211004041631</v>
      </c>
      <c r="M7" s="68">
        <f>L7/(1.03^A9)</f>
        <v>49.303449996240261</v>
      </c>
      <c r="N7" s="67">
        <f>J7*M7</f>
        <v>345.12414997368182</v>
      </c>
      <c r="O7" s="24"/>
      <c r="P7" s="24"/>
      <c r="Q7" s="25"/>
      <c r="R7" s="25"/>
      <c r="S7" s="26"/>
      <c r="T7" s="26"/>
      <c r="U7" s="26"/>
      <c r="V7" s="13"/>
      <c r="AA7" s="1"/>
      <c r="AC7" s="1"/>
    </row>
    <row r="8" spans="1:29" x14ac:dyDescent="0.35">
      <c r="A8" s="53">
        <v>2</v>
      </c>
      <c r="B8" s="53">
        <v>2023</v>
      </c>
      <c r="C8" s="47">
        <f t="shared" si="0"/>
        <v>4994.8992479999997</v>
      </c>
      <c r="D8" s="48">
        <v>1</v>
      </c>
      <c r="E8" s="53">
        <v>1</v>
      </c>
      <c r="F8" s="48">
        <f>C8*D8/100*E8</f>
        <v>49.948992479999994</v>
      </c>
      <c r="G8" s="48">
        <f>F8*366</f>
        <v>18281.331247679998</v>
      </c>
      <c r="H8" s="48">
        <f>G8/20</f>
        <v>914.06656238399989</v>
      </c>
      <c r="I8" s="64">
        <f>G8*0.39</f>
        <v>7129.7191865952</v>
      </c>
      <c r="J8" s="47">
        <v>7.29</v>
      </c>
      <c r="K8" s="65">
        <v>46</v>
      </c>
      <c r="L8" s="65">
        <f>K8*(242.839/207.342)</f>
        <v>53.875211004041631</v>
      </c>
      <c r="M8" s="65">
        <f>L8/(1.03^A10)</f>
        <v>47.867427180815788</v>
      </c>
      <c r="N8" s="64">
        <f>J8*M8</f>
        <v>348.9535441481471</v>
      </c>
      <c r="O8" s="24"/>
      <c r="P8" s="24"/>
      <c r="Q8" s="30"/>
      <c r="R8" s="25"/>
      <c r="S8" s="26"/>
      <c r="T8" s="26"/>
      <c r="U8" s="26"/>
      <c r="V8" s="13"/>
      <c r="AA8" s="1"/>
      <c r="AC8" s="1"/>
    </row>
    <row r="9" spans="1:29" x14ac:dyDescent="0.35">
      <c r="A9" s="66">
        <v>3</v>
      </c>
      <c r="B9" s="132">
        <v>2024</v>
      </c>
      <c r="C9" s="133">
        <f t="shared" si="0"/>
        <v>5044.8482404799997</v>
      </c>
      <c r="D9" s="44">
        <v>1</v>
      </c>
      <c r="E9" s="66">
        <v>1</v>
      </c>
      <c r="F9" s="44">
        <f>C9*D9/100*E9</f>
        <v>50.448482404799996</v>
      </c>
      <c r="G9" s="44">
        <f>F9*365</f>
        <v>18413.696077752</v>
      </c>
      <c r="H9" s="44">
        <f>G9/20</f>
        <v>920.68480388759997</v>
      </c>
      <c r="I9" s="67">
        <f>G9*0.39</f>
        <v>7181.3414703232802</v>
      </c>
      <c r="J9" s="43">
        <f>J8*1.01</f>
        <v>7.3628999999999998</v>
      </c>
      <c r="K9" s="68">
        <v>46</v>
      </c>
      <c r="L9" s="101">
        <f>K9*(242.839/207.342)</f>
        <v>53.875211004041631</v>
      </c>
      <c r="M9" s="68">
        <f>L9/(1.03^A11)</f>
        <v>46.473230272636691</v>
      </c>
      <c r="N9" s="67">
        <f t="shared" ref="N9:N10" si="1">J9*M9</f>
        <v>342.1777471743967</v>
      </c>
      <c r="O9" s="24"/>
      <c r="P9" s="24"/>
      <c r="R9" s="25"/>
      <c r="S9" s="26"/>
      <c r="T9" s="26"/>
      <c r="U9" s="26"/>
      <c r="V9" s="13"/>
      <c r="AA9" s="1"/>
      <c r="AC9" s="1"/>
    </row>
    <row r="10" spans="1:29" x14ac:dyDescent="0.35">
      <c r="A10" s="53">
        <v>4</v>
      </c>
      <c r="B10" s="53">
        <v>2025</v>
      </c>
      <c r="C10" s="47">
        <f t="shared" si="0"/>
        <v>5095.2967228848011</v>
      </c>
      <c r="D10" s="48">
        <v>1</v>
      </c>
      <c r="E10" s="53">
        <v>1</v>
      </c>
      <c r="F10" s="48">
        <f t="shared" ref="F10:F26" si="2">C10*D10/100*E10</f>
        <v>50.95296722884801</v>
      </c>
      <c r="G10" s="48">
        <f t="shared" ref="G10" si="3">F10*366</f>
        <v>18648.786005758371</v>
      </c>
      <c r="H10" s="48">
        <f t="shared" ref="H10:H26" si="4">G10/20</f>
        <v>932.43930028791851</v>
      </c>
      <c r="I10" s="64">
        <f t="shared" ref="I10:I26" si="5">G10*0.39</f>
        <v>7273.0265422457651</v>
      </c>
      <c r="J10" s="47">
        <v>8.2899999999999991</v>
      </c>
      <c r="K10" s="65">
        <v>46</v>
      </c>
      <c r="L10" s="65">
        <f t="shared" ref="L10:L26" si="6">K10*(242.839/207.342)</f>
        <v>53.875211004041631</v>
      </c>
      <c r="M10" s="65">
        <f t="shared" ref="M10:M26" si="7">L10/(1.03^A12)</f>
        <v>45.119641041394843</v>
      </c>
      <c r="N10" s="64">
        <f t="shared" si="1"/>
        <v>374.0418242331632</v>
      </c>
      <c r="O10" s="24"/>
      <c r="P10" s="24"/>
      <c r="R10" s="25"/>
      <c r="S10" s="26"/>
      <c r="T10" s="26"/>
      <c r="U10" s="26"/>
      <c r="V10" s="13"/>
      <c r="AA10" s="1"/>
      <c r="AC10" s="1"/>
    </row>
    <row r="11" spans="1:29" x14ac:dyDescent="0.35">
      <c r="A11" s="66">
        <v>5</v>
      </c>
      <c r="B11" s="132">
        <v>2026</v>
      </c>
      <c r="C11" s="133">
        <f t="shared" si="0"/>
        <v>5146.2496901136474</v>
      </c>
      <c r="D11" s="44">
        <v>1</v>
      </c>
      <c r="E11" s="66">
        <v>1</v>
      </c>
      <c r="F11" s="44">
        <f t="shared" si="2"/>
        <v>51.462496901136475</v>
      </c>
      <c r="G11" s="44">
        <f t="shared" ref="G11" si="8">F11*365</f>
        <v>18783.811368914812</v>
      </c>
      <c r="H11" s="44">
        <f t="shared" si="4"/>
        <v>939.19056844574061</v>
      </c>
      <c r="I11" s="67">
        <f t="shared" si="5"/>
        <v>7325.6864338767773</v>
      </c>
      <c r="J11" s="43">
        <f t="shared" ref="J11" si="9">J10*1.01</f>
        <v>8.3728999999999996</v>
      </c>
      <c r="K11" s="68">
        <v>46</v>
      </c>
      <c r="L11" s="101">
        <f t="shared" si="6"/>
        <v>53.875211004041631</v>
      </c>
      <c r="M11" s="68">
        <f t="shared" si="7"/>
        <v>43.805476739218292</v>
      </c>
      <c r="N11" s="67">
        <f t="shared" ref="N11:N26" si="10">J11*M11</f>
        <v>366.77887618980083</v>
      </c>
      <c r="O11" s="24"/>
      <c r="P11" s="24"/>
      <c r="R11" s="25"/>
      <c r="S11" s="26"/>
      <c r="T11" s="26"/>
      <c r="U11" s="26"/>
      <c r="V11" s="13"/>
      <c r="AA11" s="1"/>
      <c r="AC11" s="1"/>
    </row>
    <row r="12" spans="1:29" x14ac:dyDescent="0.35">
      <c r="A12" s="53">
        <v>6</v>
      </c>
      <c r="B12" s="53">
        <v>2027</v>
      </c>
      <c r="C12" s="47">
        <f t="shared" si="0"/>
        <v>5197.7121870147848</v>
      </c>
      <c r="D12" s="48">
        <v>1</v>
      </c>
      <c r="E12" s="53">
        <v>1</v>
      </c>
      <c r="F12" s="48">
        <f t="shared" si="2"/>
        <v>51.977121870147847</v>
      </c>
      <c r="G12" s="48">
        <f t="shared" ref="G12" si="11">F12*366</f>
        <v>19023.626604474113</v>
      </c>
      <c r="H12" s="48">
        <f t="shared" si="4"/>
        <v>951.18133022370569</v>
      </c>
      <c r="I12" s="64">
        <f t="shared" si="5"/>
        <v>7419.2143757449048</v>
      </c>
      <c r="J12" s="47">
        <v>9.2899999999999991</v>
      </c>
      <c r="K12" s="65">
        <v>46</v>
      </c>
      <c r="L12" s="65">
        <f t="shared" si="6"/>
        <v>53.875211004041631</v>
      </c>
      <c r="M12" s="65">
        <f t="shared" si="7"/>
        <v>42.529589067202231</v>
      </c>
      <c r="N12" s="64">
        <f t="shared" si="10"/>
        <v>395.09988243430871</v>
      </c>
      <c r="O12" s="24"/>
      <c r="P12" s="24"/>
      <c r="R12" s="25"/>
      <c r="S12" s="26"/>
      <c r="T12" s="26"/>
      <c r="U12" s="26"/>
      <c r="V12" s="13"/>
      <c r="AA12" s="1"/>
      <c r="AC12" s="1"/>
    </row>
    <row r="13" spans="1:29" x14ac:dyDescent="0.35">
      <c r="A13" s="66">
        <v>7</v>
      </c>
      <c r="B13" s="132">
        <v>2028</v>
      </c>
      <c r="C13" s="133">
        <f t="shared" si="0"/>
        <v>5249.6893088849338</v>
      </c>
      <c r="D13" s="44">
        <v>1</v>
      </c>
      <c r="E13" s="66">
        <v>1</v>
      </c>
      <c r="F13" s="44">
        <f t="shared" si="2"/>
        <v>52.49689308884934</v>
      </c>
      <c r="G13" s="44">
        <f t="shared" ref="G13" si="12">F13*365</f>
        <v>19161.36597743001</v>
      </c>
      <c r="H13" s="44">
        <f t="shared" si="4"/>
        <v>958.06829887150047</v>
      </c>
      <c r="I13" s="67">
        <f t="shared" si="5"/>
        <v>7472.932731197704</v>
      </c>
      <c r="J13" s="43">
        <f t="shared" ref="J13" si="13">J12*1.01</f>
        <v>9.3828999999999994</v>
      </c>
      <c r="K13" s="68">
        <v>46</v>
      </c>
      <c r="L13" s="101">
        <f t="shared" si="6"/>
        <v>53.875211004041631</v>
      </c>
      <c r="M13" s="68">
        <f t="shared" si="7"/>
        <v>41.290863172041</v>
      </c>
      <c r="N13" s="67">
        <f t="shared" si="10"/>
        <v>387.42804005694347</v>
      </c>
      <c r="O13" s="24"/>
      <c r="P13" s="24"/>
      <c r="R13" s="25"/>
      <c r="S13" s="26"/>
      <c r="T13" s="26"/>
      <c r="U13" s="26"/>
      <c r="V13" s="13"/>
      <c r="AA13" s="1"/>
      <c r="AC13" s="1"/>
    </row>
    <row r="14" spans="1:29" x14ac:dyDescent="0.35">
      <c r="A14" s="53">
        <v>8</v>
      </c>
      <c r="B14" s="53">
        <v>2029</v>
      </c>
      <c r="C14" s="47">
        <f t="shared" si="0"/>
        <v>5302.1862019737828</v>
      </c>
      <c r="D14" s="48">
        <v>1</v>
      </c>
      <c r="E14" s="53">
        <v>1</v>
      </c>
      <c r="F14" s="48">
        <f t="shared" si="2"/>
        <v>53.021862019737824</v>
      </c>
      <c r="G14" s="48">
        <f t="shared" ref="G14" si="14">F14*366</f>
        <v>19406.001499224043</v>
      </c>
      <c r="H14" s="48">
        <f t="shared" si="4"/>
        <v>970.3000749612022</v>
      </c>
      <c r="I14" s="64">
        <f t="shared" si="5"/>
        <v>7568.3405846973774</v>
      </c>
      <c r="J14" s="47">
        <v>10.29</v>
      </c>
      <c r="K14" s="65">
        <v>46</v>
      </c>
      <c r="L14" s="65">
        <f t="shared" si="6"/>
        <v>53.875211004041631</v>
      </c>
      <c r="M14" s="65">
        <f t="shared" si="7"/>
        <v>40.088216671884467</v>
      </c>
      <c r="N14" s="64">
        <f t="shared" si="10"/>
        <v>412.50774955369116</v>
      </c>
      <c r="O14" s="24"/>
      <c r="P14" s="24"/>
      <c r="R14" s="25"/>
      <c r="S14" s="26"/>
      <c r="T14" s="26"/>
      <c r="U14" s="26"/>
      <c r="V14" s="13"/>
      <c r="AA14" s="1"/>
      <c r="AC14" s="1"/>
    </row>
    <row r="15" spans="1:29" x14ac:dyDescent="0.35">
      <c r="A15" s="66">
        <v>9</v>
      </c>
      <c r="B15" s="132">
        <v>2030</v>
      </c>
      <c r="C15" s="133">
        <f t="shared" si="0"/>
        <v>5355.2080639935193</v>
      </c>
      <c r="D15" s="44">
        <v>1</v>
      </c>
      <c r="E15" s="66">
        <v>1</v>
      </c>
      <c r="F15" s="44">
        <f t="shared" si="2"/>
        <v>53.552080639935191</v>
      </c>
      <c r="G15" s="44">
        <f t="shared" ref="G15" si="15">F15*365</f>
        <v>19546.509433576346</v>
      </c>
      <c r="H15" s="44">
        <f t="shared" si="4"/>
        <v>977.32547167881728</v>
      </c>
      <c r="I15" s="67">
        <f t="shared" si="5"/>
        <v>7623.1386790947754</v>
      </c>
      <c r="J15" s="43">
        <f t="shared" ref="J15" si="16">J14*1.01</f>
        <v>10.392899999999999</v>
      </c>
      <c r="K15" s="68">
        <v>46</v>
      </c>
      <c r="L15" s="101">
        <f t="shared" si="6"/>
        <v>53.875211004041631</v>
      </c>
      <c r="M15" s="68">
        <f t="shared" si="7"/>
        <v>38.92059871056744</v>
      </c>
      <c r="N15" s="67">
        <f t="shared" si="10"/>
        <v>404.49789033905631</v>
      </c>
      <c r="O15" s="24"/>
      <c r="P15" s="24"/>
      <c r="R15" s="25"/>
      <c r="S15" s="26"/>
      <c r="T15" s="26"/>
      <c r="U15" s="26"/>
      <c r="V15" s="13"/>
      <c r="AA15" s="1"/>
      <c r="AC15" s="1"/>
    </row>
    <row r="16" spans="1:29" x14ac:dyDescent="0.35">
      <c r="A16" s="53">
        <v>10</v>
      </c>
      <c r="B16" s="53">
        <v>2031</v>
      </c>
      <c r="C16" s="47">
        <f t="shared" si="0"/>
        <v>5408.7601446334547</v>
      </c>
      <c r="D16" s="48">
        <v>1</v>
      </c>
      <c r="E16" s="53">
        <v>1</v>
      </c>
      <c r="F16" s="48">
        <f t="shared" si="2"/>
        <v>54.087601446334546</v>
      </c>
      <c r="G16" s="48">
        <f t="shared" ref="G16" si="17">F16*366</f>
        <v>19796.062129358445</v>
      </c>
      <c r="H16" s="48">
        <f t="shared" si="4"/>
        <v>989.80310646792225</v>
      </c>
      <c r="I16" s="64">
        <f t="shared" si="5"/>
        <v>7720.4642304497938</v>
      </c>
      <c r="J16" s="47">
        <v>11.29</v>
      </c>
      <c r="K16" s="65">
        <v>46</v>
      </c>
      <c r="L16" s="65">
        <f t="shared" si="6"/>
        <v>53.875211004041631</v>
      </c>
      <c r="M16" s="65">
        <f t="shared" si="7"/>
        <v>37.786989039385873</v>
      </c>
      <c r="N16" s="64">
        <f t="shared" si="10"/>
        <v>426.61510625466644</v>
      </c>
      <c r="O16" s="24"/>
      <c r="P16" s="24"/>
      <c r="R16" s="25"/>
      <c r="S16" s="26"/>
      <c r="T16" s="26"/>
      <c r="U16" s="26"/>
      <c r="V16" s="13"/>
      <c r="AA16" s="1"/>
      <c r="AC16" s="1"/>
    </row>
    <row r="17" spans="1:29" x14ac:dyDescent="0.35">
      <c r="A17" s="66">
        <v>11</v>
      </c>
      <c r="B17" s="132">
        <v>2032</v>
      </c>
      <c r="C17" s="133">
        <f t="shared" si="0"/>
        <v>5462.8477460797894</v>
      </c>
      <c r="D17" s="44">
        <v>1</v>
      </c>
      <c r="E17" s="66">
        <v>1</v>
      </c>
      <c r="F17" s="44">
        <f t="shared" si="2"/>
        <v>54.628477460797896</v>
      </c>
      <c r="G17" s="44">
        <f t="shared" ref="G17" si="18">F17*365</f>
        <v>19939.394273191232</v>
      </c>
      <c r="H17" s="44">
        <f t="shared" si="4"/>
        <v>996.96971365956165</v>
      </c>
      <c r="I17" s="67">
        <f t="shared" si="5"/>
        <v>7776.3637665445804</v>
      </c>
      <c r="J17" s="43">
        <f t="shared" ref="J17" si="19">J16*1.01</f>
        <v>11.402899999999999</v>
      </c>
      <c r="K17" s="68">
        <v>46</v>
      </c>
      <c r="L17" s="101">
        <f t="shared" si="6"/>
        <v>53.875211004041631</v>
      </c>
      <c r="M17" s="68">
        <f t="shared" si="7"/>
        <v>36.686397125617354</v>
      </c>
      <c r="N17" s="67">
        <f t="shared" si="10"/>
        <v>418.3313177837021</v>
      </c>
      <c r="O17" s="24"/>
      <c r="P17" s="24"/>
      <c r="Q17" s="25"/>
      <c r="R17" s="25"/>
      <c r="S17" s="26"/>
      <c r="T17" s="26"/>
      <c r="U17" s="26"/>
      <c r="V17" s="13"/>
      <c r="AA17" s="1"/>
      <c r="AC17" s="1"/>
    </row>
    <row r="18" spans="1:29" x14ac:dyDescent="0.35">
      <c r="A18" s="53">
        <v>12</v>
      </c>
      <c r="B18" s="53">
        <v>2033</v>
      </c>
      <c r="C18" s="47">
        <f t="shared" si="0"/>
        <v>5517.4762235405879</v>
      </c>
      <c r="D18" s="48">
        <v>1</v>
      </c>
      <c r="E18" s="53">
        <v>1</v>
      </c>
      <c r="F18" s="48">
        <f t="shared" si="2"/>
        <v>55.174762235405879</v>
      </c>
      <c r="G18" s="48">
        <f t="shared" ref="G18" si="20">F18*366</f>
        <v>20193.96297815855</v>
      </c>
      <c r="H18" s="48">
        <f t="shared" si="4"/>
        <v>1009.6981489079275</v>
      </c>
      <c r="I18" s="64">
        <f t="shared" si="5"/>
        <v>7875.6455614818351</v>
      </c>
      <c r="J18" s="47">
        <v>12.29</v>
      </c>
      <c r="K18" s="65">
        <v>46</v>
      </c>
      <c r="L18" s="65">
        <f t="shared" si="6"/>
        <v>53.875211004041631</v>
      </c>
      <c r="M18" s="65">
        <f t="shared" si="7"/>
        <v>35.617861287007138</v>
      </c>
      <c r="N18" s="64">
        <f t="shared" si="10"/>
        <v>437.74351521731768</v>
      </c>
      <c r="O18" s="24"/>
      <c r="P18" s="24"/>
      <c r="Q18" s="25"/>
      <c r="R18" s="25"/>
      <c r="S18" s="26"/>
      <c r="T18" s="26"/>
      <c r="U18" s="26"/>
      <c r="V18" s="13"/>
      <c r="AA18" s="1"/>
      <c r="AC18" s="1"/>
    </row>
    <row r="19" spans="1:29" x14ac:dyDescent="0.35">
      <c r="A19" s="66">
        <v>13</v>
      </c>
      <c r="B19" s="132">
        <v>2034</v>
      </c>
      <c r="C19" s="133">
        <f t="shared" si="0"/>
        <v>5572.6509857759929</v>
      </c>
      <c r="D19" s="44">
        <v>1</v>
      </c>
      <c r="E19" s="66">
        <v>1</v>
      </c>
      <c r="F19" s="44">
        <f t="shared" si="2"/>
        <v>55.726509857759929</v>
      </c>
      <c r="G19" s="44">
        <f t="shared" ref="G19" si="21">F19*365</f>
        <v>20340.176098082375</v>
      </c>
      <c r="H19" s="44">
        <f t="shared" si="4"/>
        <v>1017.0088049041187</v>
      </c>
      <c r="I19" s="67">
        <f t="shared" si="5"/>
        <v>7932.6686782521265</v>
      </c>
      <c r="J19" s="43">
        <f t="shared" ref="J19" si="22">J18*1.01</f>
        <v>12.412899999999999</v>
      </c>
      <c r="K19" s="68">
        <v>46</v>
      </c>
      <c r="L19" s="101">
        <f t="shared" si="6"/>
        <v>53.875211004041631</v>
      </c>
      <c r="M19" s="68">
        <f t="shared" si="7"/>
        <v>34.580447851463234</v>
      </c>
      <c r="N19" s="67">
        <f t="shared" si="10"/>
        <v>429.24364113542794</v>
      </c>
      <c r="O19" s="24"/>
      <c r="P19" s="24"/>
      <c r="Q19" s="25"/>
      <c r="R19" s="25"/>
      <c r="S19" s="26"/>
      <c r="T19" s="26"/>
      <c r="U19" s="26"/>
      <c r="V19" s="13"/>
      <c r="AA19" s="1"/>
      <c r="AC19" s="1"/>
    </row>
    <row r="20" spans="1:29" x14ac:dyDescent="0.35">
      <c r="A20" s="53">
        <v>14</v>
      </c>
      <c r="B20" s="53">
        <v>2035</v>
      </c>
      <c r="C20" s="47">
        <f t="shared" si="0"/>
        <v>5628.3774956337538</v>
      </c>
      <c r="D20" s="48">
        <v>1</v>
      </c>
      <c r="E20" s="53">
        <v>1</v>
      </c>
      <c r="F20" s="48">
        <f t="shared" si="2"/>
        <v>56.283774956337538</v>
      </c>
      <c r="G20" s="48">
        <f t="shared" ref="G20" si="23">F20*366</f>
        <v>20599.86163401954</v>
      </c>
      <c r="H20" s="48">
        <f t="shared" si="4"/>
        <v>1029.993081700977</v>
      </c>
      <c r="I20" s="64">
        <f t="shared" si="5"/>
        <v>8033.9460372676213</v>
      </c>
      <c r="J20" s="47">
        <v>13.29</v>
      </c>
      <c r="K20" s="65">
        <v>46</v>
      </c>
      <c r="L20" s="65">
        <f t="shared" si="6"/>
        <v>53.875211004041631</v>
      </c>
      <c r="M20" s="65">
        <f t="shared" si="7"/>
        <v>33.573250341226448</v>
      </c>
      <c r="N20" s="64">
        <f t="shared" si="10"/>
        <v>446.18849703489946</v>
      </c>
      <c r="O20" s="24"/>
      <c r="P20" s="24"/>
      <c r="Q20" s="25"/>
      <c r="R20" s="25"/>
      <c r="S20" s="26"/>
      <c r="T20" s="26"/>
      <c r="U20" s="26"/>
      <c r="V20" s="13"/>
      <c r="AA20" s="1"/>
      <c r="AC20" s="1"/>
    </row>
    <row r="21" spans="1:29" x14ac:dyDescent="0.35">
      <c r="A21" s="66">
        <v>15</v>
      </c>
      <c r="B21" s="132">
        <v>2036</v>
      </c>
      <c r="C21" s="133">
        <f t="shared" si="0"/>
        <v>5684.6612705900916</v>
      </c>
      <c r="D21" s="44">
        <v>1</v>
      </c>
      <c r="E21" s="66">
        <v>1</v>
      </c>
      <c r="F21" s="44">
        <f t="shared" si="2"/>
        <v>56.846612705900917</v>
      </c>
      <c r="G21" s="44">
        <f t="shared" ref="G21" si="24">F21*365</f>
        <v>20749.013637653836</v>
      </c>
      <c r="H21" s="44">
        <f t="shared" si="4"/>
        <v>1037.4506818826917</v>
      </c>
      <c r="I21" s="67">
        <f t="shared" si="5"/>
        <v>8092.1153186849961</v>
      </c>
      <c r="J21" s="43">
        <f t="shared" ref="J21" si="25">J20*1.01</f>
        <v>13.422899999999998</v>
      </c>
      <c r="K21" s="68">
        <v>46</v>
      </c>
      <c r="L21" s="101">
        <f t="shared" si="6"/>
        <v>53.875211004041631</v>
      </c>
      <c r="M21" s="68">
        <f t="shared" si="7"/>
        <v>32.59538868080238</v>
      </c>
      <c r="N21" s="67">
        <f t="shared" si="10"/>
        <v>437.52464272354223</v>
      </c>
      <c r="O21" s="24"/>
      <c r="P21" s="24"/>
      <c r="Q21" s="25"/>
      <c r="R21" s="25"/>
      <c r="S21" s="26"/>
      <c r="T21" s="26"/>
      <c r="U21" s="26"/>
      <c r="V21" s="13"/>
      <c r="AA21" s="1"/>
      <c r="AC21" s="1"/>
    </row>
    <row r="22" spans="1:29" x14ac:dyDescent="0.35">
      <c r="A22" s="53">
        <v>16</v>
      </c>
      <c r="B22" s="53">
        <v>2037</v>
      </c>
      <c r="C22" s="47">
        <f t="shared" si="0"/>
        <v>5741.5078832959935</v>
      </c>
      <c r="D22" s="48">
        <v>1</v>
      </c>
      <c r="E22" s="53">
        <v>1</v>
      </c>
      <c r="F22" s="48">
        <f t="shared" si="2"/>
        <v>57.415078832959935</v>
      </c>
      <c r="G22" s="48">
        <f t="shared" ref="G22" si="26">F22*366</f>
        <v>21013.918852863335</v>
      </c>
      <c r="H22" s="48">
        <f t="shared" si="4"/>
        <v>1050.6959426431667</v>
      </c>
      <c r="I22" s="64">
        <f t="shared" si="5"/>
        <v>8195.4283526167001</v>
      </c>
      <c r="J22" s="47">
        <v>14.29</v>
      </c>
      <c r="K22" s="65">
        <v>46</v>
      </c>
      <c r="L22" s="65">
        <f t="shared" si="6"/>
        <v>53.875211004041631</v>
      </c>
      <c r="M22" s="65">
        <f t="shared" si="7"/>
        <v>31.646008427963473</v>
      </c>
      <c r="N22" s="64">
        <f t="shared" si="10"/>
        <v>452.22146043559798</v>
      </c>
      <c r="O22" s="24"/>
      <c r="P22" s="24"/>
      <c r="Q22" s="25"/>
      <c r="R22" s="25"/>
      <c r="S22" s="26"/>
      <c r="T22" s="26"/>
      <c r="U22" s="26"/>
      <c r="V22" s="13"/>
      <c r="AA22" s="1"/>
      <c r="AC22" s="1"/>
    </row>
    <row r="23" spans="1:29" x14ac:dyDescent="0.35">
      <c r="A23" s="66">
        <v>17</v>
      </c>
      <c r="B23" s="132">
        <v>2038</v>
      </c>
      <c r="C23" s="133">
        <f t="shared" si="0"/>
        <v>5798.9229621289514</v>
      </c>
      <c r="D23" s="44">
        <v>1</v>
      </c>
      <c r="E23" s="66">
        <v>1</v>
      </c>
      <c r="F23" s="44">
        <f t="shared" si="2"/>
        <v>57.989229621289518</v>
      </c>
      <c r="G23" s="44">
        <f t="shared" ref="G23" si="27">F23*365</f>
        <v>21166.068811770674</v>
      </c>
      <c r="H23" s="44">
        <f t="shared" si="4"/>
        <v>1058.3034405885337</v>
      </c>
      <c r="I23" s="67">
        <f t="shared" si="5"/>
        <v>8254.7668365905629</v>
      </c>
      <c r="J23" s="43">
        <f t="shared" ref="J23" si="28">J22*1.01</f>
        <v>14.4329</v>
      </c>
      <c r="K23" s="68">
        <v>46</v>
      </c>
      <c r="L23" s="101">
        <f t="shared" si="6"/>
        <v>53.875211004041631</v>
      </c>
      <c r="M23" s="68">
        <f t="shared" si="7"/>
        <v>30.724280027149003</v>
      </c>
      <c r="N23" s="67">
        <f t="shared" si="10"/>
        <v>443.44046120383888</v>
      </c>
      <c r="O23" s="24"/>
      <c r="P23" s="24"/>
      <c r="Q23" s="25"/>
      <c r="R23" s="25"/>
      <c r="S23" s="26"/>
      <c r="T23" s="26"/>
      <c r="U23" s="26"/>
      <c r="V23" s="13"/>
      <c r="AA23" s="1"/>
      <c r="AC23" s="1"/>
    </row>
    <row r="24" spans="1:29" x14ac:dyDescent="0.35">
      <c r="A24" s="53">
        <v>18</v>
      </c>
      <c r="B24" s="53">
        <v>2039</v>
      </c>
      <c r="C24" s="47">
        <f t="shared" si="0"/>
        <v>5856.9121917502416</v>
      </c>
      <c r="D24" s="48">
        <v>1</v>
      </c>
      <c r="E24" s="53">
        <v>1</v>
      </c>
      <c r="F24" s="48">
        <f t="shared" si="2"/>
        <v>58.569121917502414</v>
      </c>
      <c r="G24" s="48">
        <f t="shared" ref="G24" si="29">F24*366</f>
        <v>21436.298621805883</v>
      </c>
      <c r="H24" s="48">
        <f t="shared" si="4"/>
        <v>1071.8149310902941</v>
      </c>
      <c r="I24" s="64">
        <f t="shared" si="5"/>
        <v>8360.1564625042938</v>
      </c>
      <c r="J24" s="47">
        <v>15.29</v>
      </c>
      <c r="K24" s="65">
        <v>46</v>
      </c>
      <c r="L24" s="65">
        <f t="shared" si="6"/>
        <v>53.875211004041631</v>
      </c>
      <c r="M24" s="65">
        <f t="shared" si="7"/>
        <v>29.829398084610684</v>
      </c>
      <c r="N24" s="64">
        <f t="shared" si="10"/>
        <v>456.09149671369732</v>
      </c>
      <c r="O24" s="24"/>
      <c r="P24" s="24"/>
      <c r="Q24" s="25"/>
      <c r="R24" s="25"/>
      <c r="S24" s="26"/>
      <c r="T24" s="26"/>
      <c r="U24" s="26"/>
      <c r="V24" s="13"/>
      <c r="AA24" s="1"/>
      <c r="AC24" s="1"/>
    </row>
    <row r="25" spans="1:29" x14ac:dyDescent="0.35">
      <c r="A25" s="66">
        <v>19</v>
      </c>
      <c r="B25" s="132">
        <v>2040</v>
      </c>
      <c r="C25" s="133">
        <f t="shared" si="0"/>
        <v>5915.481313667744</v>
      </c>
      <c r="D25" s="44">
        <v>1</v>
      </c>
      <c r="E25" s="66">
        <v>1</v>
      </c>
      <c r="F25" s="44">
        <f t="shared" si="2"/>
        <v>59.15481313667744</v>
      </c>
      <c r="G25" s="44">
        <f t="shared" ref="G25" si="30">F25*365</f>
        <v>21591.506794887264</v>
      </c>
      <c r="H25" s="44">
        <f t="shared" si="4"/>
        <v>1079.5753397443632</v>
      </c>
      <c r="I25" s="67">
        <f t="shared" si="5"/>
        <v>8420.6876500060334</v>
      </c>
      <c r="J25" s="43">
        <f t="shared" ref="J25" si="31">J24*1.01</f>
        <v>15.4429</v>
      </c>
      <c r="K25" s="68">
        <v>46</v>
      </c>
      <c r="L25" s="101">
        <f t="shared" si="6"/>
        <v>53.875211004041631</v>
      </c>
      <c r="M25" s="68">
        <f t="shared" si="7"/>
        <v>53.875211004041631</v>
      </c>
      <c r="N25" s="67">
        <f t="shared" si="10"/>
        <v>831.98949601431445</v>
      </c>
      <c r="O25" s="24"/>
      <c r="P25" s="24"/>
      <c r="Q25" s="25"/>
      <c r="R25" s="25"/>
      <c r="S25" s="26"/>
      <c r="T25" s="26"/>
      <c r="U25" s="26"/>
      <c r="V25" s="13"/>
      <c r="AA25" s="1"/>
      <c r="AC25" s="1"/>
    </row>
    <row r="26" spans="1:29" x14ac:dyDescent="0.35">
      <c r="A26" s="53">
        <v>20</v>
      </c>
      <c r="B26" s="53">
        <v>2041</v>
      </c>
      <c r="C26" s="47">
        <f t="shared" si="0"/>
        <v>5974.6361268044229</v>
      </c>
      <c r="D26" s="48">
        <v>1</v>
      </c>
      <c r="E26" s="53">
        <v>1</v>
      </c>
      <c r="F26" s="48">
        <f t="shared" si="2"/>
        <v>59.746361268044232</v>
      </c>
      <c r="G26" s="48">
        <f t="shared" ref="G26" si="32">F26*366</f>
        <v>21867.168224104189</v>
      </c>
      <c r="H26" s="48">
        <f t="shared" si="4"/>
        <v>1093.3584112052094</v>
      </c>
      <c r="I26" s="64">
        <f t="shared" si="5"/>
        <v>8528.1956074006339</v>
      </c>
      <c r="J26" s="47">
        <v>16.29</v>
      </c>
      <c r="K26" s="65">
        <v>46</v>
      </c>
      <c r="L26" s="65">
        <f t="shared" si="6"/>
        <v>53.875211004041631</v>
      </c>
      <c r="M26" s="65">
        <f t="shared" si="7"/>
        <v>53.875211004041631</v>
      </c>
      <c r="N26" s="64">
        <f t="shared" si="10"/>
        <v>877.62718725583818</v>
      </c>
      <c r="O26" s="24"/>
      <c r="P26" s="24"/>
      <c r="Q26" s="25"/>
      <c r="R26" s="25"/>
      <c r="S26" s="26"/>
      <c r="T26" s="26"/>
      <c r="U26" s="26"/>
      <c r="V26" s="13"/>
      <c r="AA26" s="1"/>
      <c r="AC26" s="1"/>
    </row>
    <row r="27" spans="1:29" x14ac:dyDescent="0.35">
      <c r="A27" s="66"/>
      <c r="B27" s="43"/>
      <c r="C27" s="43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24"/>
      <c r="P27" s="24"/>
      <c r="Q27" s="25"/>
      <c r="R27" s="25"/>
      <c r="S27" s="26"/>
      <c r="T27" s="26"/>
      <c r="U27" s="26"/>
      <c r="V27" s="13"/>
      <c r="AA27" s="1"/>
      <c r="AC27" s="1"/>
    </row>
    <row r="28" spans="1:29" x14ac:dyDescent="0.35">
      <c r="A28" s="53"/>
      <c r="B28" s="47"/>
      <c r="C28" s="47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4"/>
      <c r="P28" s="24"/>
      <c r="Q28" s="25"/>
      <c r="R28" s="25"/>
      <c r="S28" s="26"/>
      <c r="T28" s="26"/>
      <c r="U28" s="26"/>
      <c r="V28" s="13"/>
      <c r="AA28" s="1"/>
      <c r="AC28" s="1"/>
    </row>
    <row r="29" spans="1:29" x14ac:dyDescent="0.35">
      <c r="A29" s="66"/>
      <c r="B29" s="43"/>
      <c r="C29" s="43"/>
      <c r="D29" s="44"/>
      <c r="E29" s="66"/>
      <c r="F29" s="44"/>
      <c r="G29" s="44"/>
      <c r="H29" s="44"/>
      <c r="I29" s="67"/>
      <c r="J29" s="43"/>
      <c r="K29" s="68"/>
      <c r="L29" s="68"/>
      <c r="M29" s="68"/>
      <c r="N29" s="67"/>
      <c r="O29" s="24"/>
      <c r="P29" s="24"/>
      <c r="Q29" s="25"/>
      <c r="R29" s="25"/>
      <c r="S29" s="26"/>
      <c r="T29" s="26"/>
      <c r="U29" s="26"/>
      <c r="V29" s="13"/>
      <c r="AA29" s="1"/>
      <c r="AC29" s="1"/>
    </row>
    <row r="30" spans="1:29" ht="15" thickBot="1" x14ac:dyDescent="0.4">
      <c r="A30" s="91"/>
      <c r="B30" s="91"/>
      <c r="C30" s="110"/>
      <c r="D30" s="110"/>
      <c r="E30" s="110"/>
      <c r="F30" s="111"/>
      <c r="G30" s="112">
        <f>SUM(G4:G29)</f>
        <v>398009.43379070499</v>
      </c>
      <c r="H30" s="112">
        <f>SUM(H4:H29)</f>
        <v>19900.47168953525</v>
      </c>
      <c r="I30" s="113">
        <f>SUM(I8:I26)</f>
        <v>148183.838505575</v>
      </c>
      <c r="J30" s="112">
        <f>SUM(J4:J29)</f>
        <v>227.52609999999996</v>
      </c>
      <c r="K30" s="110"/>
      <c r="L30" s="110"/>
      <c r="M30" s="110"/>
      <c r="N30" s="113">
        <f>SUM(N4:N29)</f>
        <v>9033.6265258760322</v>
      </c>
      <c r="O30" s="27"/>
      <c r="P30" s="27"/>
      <c r="Q30" s="14"/>
      <c r="R30" s="14"/>
      <c r="S30" s="11"/>
      <c r="T30" s="11"/>
      <c r="U30" s="10"/>
      <c r="V30" s="14"/>
    </row>
    <row r="31" spans="1:29" x14ac:dyDescent="0.35">
      <c r="P31" s="1"/>
      <c r="Q31" s="1"/>
      <c r="R31"/>
      <c r="S31"/>
    </row>
    <row r="32" spans="1:29" x14ac:dyDescent="0.35">
      <c r="A32" t="s">
        <v>53</v>
      </c>
      <c r="B32" s="20"/>
      <c r="T32" s="63"/>
    </row>
    <row r="33" spans="1:16" x14ac:dyDescent="0.35">
      <c r="A33" s="20" t="s">
        <v>52</v>
      </c>
      <c r="B33" s="1"/>
    </row>
    <row r="34" spans="1:16" x14ac:dyDescent="0.35">
      <c r="A34" s="20" t="s">
        <v>187</v>
      </c>
      <c r="P34" s="20"/>
    </row>
    <row r="35" spans="1:16" x14ac:dyDescent="0.35">
      <c r="A35" s="20" t="s">
        <v>55</v>
      </c>
      <c r="P35" s="20"/>
    </row>
    <row r="36" spans="1:16" x14ac:dyDescent="0.35">
      <c r="A36" s="20" t="s">
        <v>56</v>
      </c>
      <c r="P36" s="20"/>
    </row>
    <row r="37" spans="1:16" x14ac:dyDescent="0.35">
      <c r="A37" s="20" t="s">
        <v>57</v>
      </c>
    </row>
    <row r="38" spans="1:16" x14ac:dyDescent="0.35">
      <c r="A38" s="20" t="s">
        <v>68</v>
      </c>
    </row>
    <row r="39" spans="1:16" x14ac:dyDescent="0.35">
      <c r="A39" s="20" t="s">
        <v>48</v>
      </c>
    </row>
    <row r="40" spans="1:16" x14ac:dyDescent="0.35">
      <c r="A40" s="20" t="s">
        <v>143</v>
      </c>
    </row>
    <row r="41" spans="1:16" x14ac:dyDescent="0.35">
      <c r="A41" s="20" t="s">
        <v>58</v>
      </c>
    </row>
    <row r="42" spans="1:16" x14ac:dyDescent="0.35">
      <c r="A42" s="20" t="s">
        <v>35</v>
      </c>
    </row>
    <row r="43" spans="1:16" x14ac:dyDescent="0.35">
      <c r="A43" s="20" t="s">
        <v>43</v>
      </c>
    </row>
    <row r="44" spans="1:16" x14ac:dyDescent="0.35">
      <c r="A44" s="20" t="s">
        <v>80</v>
      </c>
    </row>
    <row r="45" spans="1:16" x14ac:dyDescent="0.35">
      <c r="A45" s="18" t="s">
        <v>66</v>
      </c>
    </row>
    <row r="46" spans="1:16" x14ac:dyDescent="0.35">
      <c r="A46" s="18"/>
    </row>
    <row r="47" spans="1:16" x14ac:dyDescent="0.35">
      <c r="A47" s="32" t="s">
        <v>105</v>
      </c>
    </row>
    <row r="48" spans="1:16" x14ac:dyDescent="0.35">
      <c r="A48" s="19"/>
    </row>
    <row r="49" spans="1:19" x14ac:dyDescent="0.35">
      <c r="A49" s="18" t="s">
        <v>38</v>
      </c>
    </row>
    <row r="50" spans="1:19" x14ac:dyDescent="0.35">
      <c r="A50" s="146" t="s">
        <v>202</v>
      </c>
      <c r="B50" s="146"/>
      <c r="C50" s="146"/>
      <c r="E50" s="146" t="s">
        <v>203</v>
      </c>
      <c r="F50" s="146"/>
    </row>
    <row r="51" spans="1:19" ht="43.5" x14ac:dyDescent="0.35">
      <c r="A51" s="92" t="s">
        <v>44</v>
      </c>
      <c r="B51" s="92" t="s">
        <v>134</v>
      </c>
      <c r="C51" s="92" t="s">
        <v>135</v>
      </c>
      <c r="D51" s="69"/>
      <c r="E51" s="92" t="s">
        <v>136</v>
      </c>
      <c r="F51" s="92" t="s">
        <v>137</v>
      </c>
      <c r="R51"/>
      <c r="S51"/>
    </row>
    <row r="52" spans="1:19" x14ac:dyDescent="0.35">
      <c r="A52" s="66">
        <v>1</v>
      </c>
      <c r="B52" s="68">
        <f t="shared" ref="B52:B71" si="33">I7/1.03^A52</f>
        <v>6834.796769708737</v>
      </c>
      <c r="C52" s="68">
        <f t="shared" ref="C52:C71" si="34">N7</f>
        <v>345.12414997368182</v>
      </c>
      <c r="D52" s="69"/>
      <c r="E52" s="68">
        <f>B52/(1.07/1.03)^A52</f>
        <v>6579.2903484112139</v>
      </c>
      <c r="F52" s="68">
        <f>C52/(1.07/1.03)^A52</f>
        <v>332.22231259148811</v>
      </c>
      <c r="R52"/>
      <c r="S52"/>
    </row>
    <row r="53" spans="1:19" x14ac:dyDescent="0.35">
      <c r="A53" s="53">
        <v>2</v>
      </c>
      <c r="B53" s="65">
        <f t="shared" si="33"/>
        <v>6720.4441385570744</v>
      </c>
      <c r="C53" s="65">
        <f t="shared" si="34"/>
        <v>348.9535441481471</v>
      </c>
      <c r="D53" s="69"/>
      <c r="E53" s="65">
        <f t="shared" ref="E53:E71" si="35">B53/(1.07/1.03)^A53</f>
        <v>6227.3728592848292</v>
      </c>
      <c r="F53" s="65">
        <f t="shared" ref="F53:F71" si="36">C53/(1.07/1.03)^A53</f>
        <v>323.35122280266336</v>
      </c>
      <c r="R53"/>
      <c r="S53"/>
    </row>
    <row r="54" spans="1:19" x14ac:dyDescent="0.35">
      <c r="A54" s="66">
        <v>3</v>
      </c>
      <c r="B54" s="68">
        <f t="shared" si="33"/>
        <v>6571.9447495333052</v>
      </c>
      <c r="C54" s="68">
        <f t="shared" si="34"/>
        <v>342.1777471743967</v>
      </c>
      <c r="D54" s="69"/>
      <c r="E54" s="68">
        <f t="shared" si="35"/>
        <v>5862.1137954531232</v>
      </c>
      <c r="F54" s="68">
        <f t="shared" si="36"/>
        <v>305.21937853335515</v>
      </c>
      <c r="R54"/>
      <c r="S54"/>
    </row>
    <row r="55" spans="1:19" x14ac:dyDescent="0.35">
      <c r="A55" s="53">
        <v>4</v>
      </c>
      <c r="B55" s="65">
        <f t="shared" si="33"/>
        <v>6461.9898819323907</v>
      </c>
      <c r="C55" s="65">
        <f t="shared" si="34"/>
        <v>374.0418242331632</v>
      </c>
      <c r="D55" s="69"/>
      <c r="E55" s="65">
        <f t="shared" si="35"/>
        <v>5548.5571261738633</v>
      </c>
      <c r="F55" s="65">
        <f t="shared" si="36"/>
        <v>321.16924774808911</v>
      </c>
      <c r="R55"/>
      <c r="S55"/>
    </row>
    <row r="56" spans="1:19" x14ac:dyDescent="0.35">
      <c r="A56" s="66">
        <v>5</v>
      </c>
      <c r="B56" s="68">
        <f t="shared" si="33"/>
        <v>6319.2014695060088</v>
      </c>
      <c r="C56" s="68">
        <f t="shared" si="34"/>
        <v>366.77887618980083</v>
      </c>
      <c r="D56" s="69"/>
      <c r="E56" s="68">
        <f t="shared" si="35"/>
        <v>5223.1131825851435</v>
      </c>
      <c r="F56" s="68">
        <f t="shared" si="36"/>
        <v>303.15975722015889</v>
      </c>
      <c r="R56"/>
      <c r="S56"/>
    </row>
    <row r="57" spans="1:19" x14ac:dyDescent="0.35">
      <c r="A57" s="53">
        <v>6</v>
      </c>
      <c r="B57" s="65">
        <f t="shared" si="33"/>
        <v>6213.4752366474049</v>
      </c>
      <c r="C57" s="65">
        <f t="shared" si="34"/>
        <v>395.09988243430871</v>
      </c>
      <c r="D57" s="69"/>
      <c r="E57" s="65">
        <f t="shared" si="35"/>
        <v>4943.7358061052992</v>
      </c>
      <c r="F57" s="65">
        <f t="shared" si="36"/>
        <v>314.36021894124565</v>
      </c>
      <c r="R57"/>
      <c r="S57"/>
    </row>
    <row r="58" spans="1:19" x14ac:dyDescent="0.35">
      <c r="A58" s="66">
        <v>7</v>
      </c>
      <c r="B58" s="68">
        <f t="shared" si="33"/>
        <v>6076.1781685767573</v>
      </c>
      <c r="C58" s="68">
        <f t="shared" si="34"/>
        <v>387.42804005694347</v>
      </c>
      <c r="D58" s="69"/>
      <c r="E58" s="68">
        <f t="shared" si="35"/>
        <v>4653.7669294742836</v>
      </c>
      <c r="F58" s="68">
        <f t="shared" si="36"/>
        <v>296.73254311276457</v>
      </c>
      <c r="R58"/>
      <c r="S58"/>
    </row>
    <row r="59" spans="1:19" x14ac:dyDescent="0.35">
      <c r="A59" s="53">
        <v>8</v>
      </c>
      <c r="B59" s="65">
        <f t="shared" si="33"/>
        <v>5974.5179459930414</v>
      </c>
      <c r="C59" s="65">
        <f t="shared" si="34"/>
        <v>412.50774955369116</v>
      </c>
      <c r="D59" s="69"/>
      <c r="E59" s="65">
        <f t="shared" si="35"/>
        <v>4404.8431267429614</v>
      </c>
      <c r="F59" s="65">
        <f t="shared" si="36"/>
        <v>304.13029833953732</v>
      </c>
      <c r="R59"/>
      <c r="S59"/>
    </row>
    <row r="60" spans="1:19" x14ac:dyDescent="0.35">
      <c r="A60" s="66">
        <v>9</v>
      </c>
      <c r="B60" s="68">
        <f t="shared" si="33"/>
        <v>5842.5010366341303</v>
      </c>
      <c r="C60" s="68">
        <f t="shared" si="34"/>
        <v>404.49789033905631</v>
      </c>
      <c r="D60" s="69"/>
      <c r="E60" s="68">
        <f t="shared" si="35"/>
        <v>4146.4823519580013</v>
      </c>
      <c r="F60" s="68">
        <f t="shared" si="36"/>
        <v>287.07626291862863</v>
      </c>
      <c r="R60"/>
      <c r="S60"/>
    </row>
    <row r="61" spans="1:19" x14ac:dyDescent="0.35">
      <c r="A61" s="53">
        <v>10</v>
      </c>
      <c r="B61" s="65">
        <f t="shared" si="33"/>
        <v>5744.7504540555201</v>
      </c>
      <c r="C61" s="65">
        <f t="shared" si="34"/>
        <v>426.61510625466644</v>
      </c>
      <c r="D61" s="69"/>
      <c r="E61" s="65">
        <f t="shared" si="35"/>
        <v>3924.6925265005634</v>
      </c>
      <c r="F61" s="65">
        <f t="shared" si="36"/>
        <v>291.45445613358783</v>
      </c>
      <c r="R61"/>
      <c r="S61"/>
    </row>
    <row r="62" spans="1:19" x14ac:dyDescent="0.35">
      <c r="A62" s="66">
        <v>11</v>
      </c>
      <c r="B62" s="68">
        <f t="shared" si="33"/>
        <v>5617.8106395234954</v>
      </c>
      <c r="C62" s="68">
        <f t="shared" si="34"/>
        <v>418.3313177837021</v>
      </c>
      <c r="D62" s="69"/>
      <c r="E62" s="68">
        <f t="shared" si="35"/>
        <v>3694.494407574773</v>
      </c>
      <c r="F62" s="68">
        <f t="shared" si="36"/>
        <v>275.11121560273244</v>
      </c>
      <c r="R62"/>
      <c r="S62"/>
    </row>
    <row r="63" spans="1:19" x14ac:dyDescent="0.35">
      <c r="A63" s="53">
        <v>12</v>
      </c>
      <c r="B63" s="65">
        <f t="shared" si="33"/>
        <v>5523.819340354451</v>
      </c>
      <c r="C63" s="65">
        <f t="shared" si="34"/>
        <v>437.74351521731768</v>
      </c>
      <c r="D63" s="69"/>
      <c r="E63" s="65">
        <f t="shared" si="35"/>
        <v>3496.8808160391523</v>
      </c>
      <c r="F63" s="65">
        <f t="shared" si="36"/>
        <v>277.11567058794446</v>
      </c>
      <c r="R63"/>
      <c r="S63"/>
    </row>
    <row r="64" spans="1:19" x14ac:dyDescent="0.35">
      <c r="A64" s="66">
        <v>13</v>
      </c>
      <c r="B64" s="68">
        <f t="shared" si="33"/>
        <v>5401.7613661776968</v>
      </c>
      <c r="C64" s="68">
        <f t="shared" si="34"/>
        <v>429.24364113542794</v>
      </c>
      <c r="D64" s="69"/>
      <c r="E64" s="68">
        <f t="shared" si="35"/>
        <v>3291.7754783535911</v>
      </c>
      <c r="F64" s="68">
        <f t="shared" si="36"/>
        <v>261.57647410637747</v>
      </c>
      <c r="R64"/>
      <c r="S64"/>
    </row>
    <row r="65" spans="1:19" x14ac:dyDescent="0.35">
      <c r="A65" s="53">
        <v>14</v>
      </c>
      <c r="B65" s="65">
        <f t="shared" si="33"/>
        <v>5311.3847762235609</v>
      </c>
      <c r="C65" s="65">
        <f t="shared" si="34"/>
        <v>446.18849703489946</v>
      </c>
      <c r="D65" s="69"/>
      <c r="E65" s="65">
        <f t="shared" si="35"/>
        <v>3115.7027866552007</v>
      </c>
      <c r="F65" s="65">
        <f t="shared" si="36"/>
        <v>261.73790869159535</v>
      </c>
      <c r="R65"/>
      <c r="S65"/>
    </row>
    <row r="66" spans="1:19" x14ac:dyDescent="0.35">
      <c r="A66" s="66">
        <v>15</v>
      </c>
      <c r="B66" s="68">
        <f t="shared" si="33"/>
        <v>5194.020897009962</v>
      </c>
      <c r="C66" s="68">
        <f t="shared" si="34"/>
        <v>437.52464272354223</v>
      </c>
      <c r="D66" s="69"/>
      <c r="E66" s="68">
        <f t="shared" si="35"/>
        <v>2932.9549877443428</v>
      </c>
      <c r="F66" s="68">
        <f t="shared" si="36"/>
        <v>247.06101661543116</v>
      </c>
      <c r="R66"/>
      <c r="S66"/>
    </row>
    <row r="67" spans="1:19" x14ac:dyDescent="0.35">
      <c r="A67" s="53">
        <v>16</v>
      </c>
      <c r="B67" s="65">
        <f t="shared" si="33"/>
        <v>5107.1200020978931</v>
      </c>
      <c r="C67" s="65">
        <f t="shared" si="34"/>
        <v>452.22146043559798</v>
      </c>
      <c r="D67" s="69"/>
      <c r="E67" s="65">
        <f t="shared" si="35"/>
        <v>2776.0751267944543</v>
      </c>
      <c r="F67" s="65">
        <f t="shared" si="36"/>
        <v>245.81383394207202</v>
      </c>
      <c r="R67"/>
      <c r="S67"/>
    </row>
    <row r="68" spans="1:19" x14ac:dyDescent="0.35">
      <c r="A68" s="66">
        <v>17</v>
      </c>
      <c r="B68" s="68">
        <f t="shared" si="33"/>
        <v>4994.269692751308</v>
      </c>
      <c r="C68" s="68">
        <f t="shared" si="34"/>
        <v>443.44046120383888</v>
      </c>
      <c r="D68" s="69"/>
      <c r="E68" s="68">
        <f t="shared" si="35"/>
        <v>2613.2477797170104</v>
      </c>
      <c r="F68" s="68">
        <f t="shared" si="36"/>
        <v>232.02988063690916</v>
      </c>
      <c r="R68"/>
      <c r="S68"/>
    </row>
    <row r="69" spans="1:19" x14ac:dyDescent="0.35">
      <c r="A69" s="53">
        <v>18</v>
      </c>
      <c r="B69" s="65">
        <f t="shared" si="33"/>
        <v>4910.71082490344</v>
      </c>
      <c r="C69" s="65">
        <f t="shared" si="34"/>
        <v>456.09149671369732</v>
      </c>
      <c r="D69" s="69"/>
      <c r="E69" s="65">
        <f t="shared" si="35"/>
        <v>2473.4686320578412</v>
      </c>
      <c r="F69" s="65">
        <f t="shared" si="36"/>
        <v>229.7280476685012</v>
      </c>
      <c r="R69"/>
      <c r="S69"/>
    </row>
    <row r="70" spans="1:19" x14ac:dyDescent="0.35">
      <c r="A70" s="66">
        <v>19</v>
      </c>
      <c r="B70" s="68">
        <f t="shared" si="33"/>
        <v>4802.2005029461861</v>
      </c>
      <c r="C70" s="68">
        <f t="shared" si="34"/>
        <v>831.98949601431445</v>
      </c>
      <c r="D70" s="69"/>
      <c r="E70" s="68">
        <f t="shared" si="35"/>
        <v>2328.3903049081337</v>
      </c>
      <c r="F70" s="68">
        <f t="shared" si="36"/>
        <v>403.39762471738726</v>
      </c>
      <c r="R70"/>
      <c r="S70"/>
    </row>
    <row r="71" spans="1:19" x14ac:dyDescent="0.35">
      <c r="A71" s="53">
        <v>20</v>
      </c>
      <c r="B71" s="65">
        <f t="shared" si="33"/>
        <v>4721.8551347761349</v>
      </c>
      <c r="C71" s="65">
        <f t="shared" si="34"/>
        <v>877.62718725583818</v>
      </c>
      <c r="D71" s="69"/>
      <c r="E71" s="65">
        <f t="shared" si="35"/>
        <v>2203.8478046660889</v>
      </c>
      <c r="F71" s="65">
        <f t="shared" si="36"/>
        <v>409.61797741403024</v>
      </c>
      <c r="R71"/>
      <c r="S71"/>
    </row>
    <row r="72" spans="1:19" x14ac:dyDescent="0.35">
      <c r="A72" s="105"/>
      <c r="B72" s="109"/>
      <c r="C72" s="109"/>
      <c r="D72" s="69"/>
      <c r="E72" s="68"/>
      <c r="F72" s="68"/>
      <c r="R72"/>
      <c r="S72"/>
    </row>
    <row r="73" spans="1:19" ht="15" thickBot="1" x14ac:dyDescent="0.4">
      <c r="A73" s="91"/>
      <c r="B73" s="113">
        <f>SUM(B52:B71)</f>
        <v>114344.7530279085</v>
      </c>
      <c r="C73" s="113">
        <f>SUM(C52:C71)</f>
        <v>9033.6265258760322</v>
      </c>
      <c r="D73" s="59"/>
      <c r="E73" s="58">
        <f>SUM(E52:E71)</f>
        <v>80440.806177199876</v>
      </c>
      <c r="F73" s="58">
        <f>SUM(F52:F71)</f>
        <v>5922.0653483244987</v>
      </c>
      <c r="H73" s="1"/>
      <c r="I73" s="1"/>
      <c r="R73"/>
      <c r="S73"/>
    </row>
  </sheetData>
  <mergeCells count="2">
    <mergeCell ref="A50:C50"/>
    <mergeCell ref="E50:F50"/>
  </mergeCells>
  <hyperlinks>
    <hyperlink ref="A47" r:id="rId1" xr:uid="{00000000-0004-0000-0200-000000000000}"/>
  </hyperlinks>
  <pageMargins left="0.7" right="0.7" top="0.75" bottom="0.75" header="0.3" footer="0.3"/>
  <pageSetup scale="44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83"/>
  <sheetViews>
    <sheetView workbookViewId="0">
      <pane ySplit="3" topLeftCell="A4" activePane="bottomLeft" state="frozen"/>
      <selection pane="bottomLeft" activeCell="G31" sqref="G31"/>
    </sheetView>
  </sheetViews>
  <sheetFormatPr defaultRowHeight="14.5" x14ac:dyDescent="0.35"/>
  <cols>
    <col min="1" max="1" width="12.54296875" style="1" customWidth="1"/>
    <col min="2" max="2" width="12.54296875" customWidth="1"/>
    <col min="3" max="3" width="11.453125" customWidth="1"/>
    <col min="5" max="5" width="13.453125" customWidth="1"/>
    <col min="6" max="6" width="15.81640625" customWidth="1"/>
    <col min="7" max="7" width="14.81640625" bestFit="1" customWidth="1"/>
    <col min="8" max="8" width="13.81640625" bestFit="1" customWidth="1"/>
    <col min="9" max="9" width="12.1796875" customWidth="1"/>
    <col min="18" max="18" width="10.81640625" customWidth="1"/>
    <col min="19" max="19" width="12" customWidth="1"/>
    <col min="20" max="20" width="11.54296875" customWidth="1"/>
  </cols>
  <sheetData>
    <row r="1" spans="1:19" ht="15.5" x14ac:dyDescent="0.35">
      <c r="A1" s="104" t="s">
        <v>85</v>
      </c>
    </row>
    <row r="3" spans="1:19" s="2" customFormat="1" ht="43.5" x14ac:dyDescent="0.35">
      <c r="A3" s="92" t="s">
        <v>44</v>
      </c>
      <c r="B3" s="92" t="s">
        <v>0</v>
      </c>
      <c r="C3" s="92" t="s">
        <v>2</v>
      </c>
      <c r="D3" s="92" t="s">
        <v>18</v>
      </c>
      <c r="E3" s="92" t="s">
        <v>19</v>
      </c>
      <c r="F3" s="92" t="s">
        <v>20</v>
      </c>
      <c r="G3" s="92" t="s">
        <v>21</v>
      </c>
      <c r="H3" s="92" t="s">
        <v>19</v>
      </c>
      <c r="I3" s="92" t="s">
        <v>20</v>
      </c>
    </row>
    <row r="4" spans="1:19" s="1" customFormat="1" x14ac:dyDescent="0.35">
      <c r="A4" s="97">
        <v>0</v>
      </c>
      <c r="B4" s="53">
        <v>2019</v>
      </c>
      <c r="C4" s="48">
        <v>1061</v>
      </c>
      <c r="D4" s="98">
        <v>124100</v>
      </c>
      <c r="E4" s="98">
        <f>D4/1.03^(A4)</f>
        <v>124100</v>
      </c>
      <c r="F4" s="98">
        <f>D4/1.07^(A4)</f>
        <v>124100</v>
      </c>
      <c r="G4" s="98">
        <f>C4*D4</f>
        <v>131670100</v>
      </c>
      <c r="H4" s="98">
        <f>G4/1.03^(B4-$B4)</f>
        <v>131670100</v>
      </c>
      <c r="I4" s="98">
        <f>G4/1.07^(B4-$B$4)</f>
        <v>131670100</v>
      </c>
    </row>
    <row r="5" spans="1:19" x14ac:dyDescent="0.35">
      <c r="A5" s="66">
        <v>0</v>
      </c>
      <c r="B5" s="132">
        <v>2020</v>
      </c>
      <c r="C5" s="134">
        <f>$C$4*1.01^(B5-$B$4)</f>
        <v>1071.6099999999999</v>
      </c>
      <c r="D5" s="67">
        <v>124100</v>
      </c>
      <c r="E5" s="67">
        <f>D5/1.03^(A5)</f>
        <v>124100</v>
      </c>
      <c r="F5" s="67">
        <f>D5/1.07^(A5)</f>
        <v>124100</v>
      </c>
      <c r="G5" s="67">
        <f>C5*D5</f>
        <v>132986800.99999999</v>
      </c>
      <c r="H5" s="67">
        <f t="shared" ref="H5:H7" si="0">G5/1.03^(B5-$B$4)</f>
        <v>129113399.0291262</v>
      </c>
      <c r="I5" s="67">
        <f>G5/1.07^(B5-$B$4)</f>
        <v>124286729.90654203</v>
      </c>
      <c r="J5" s="1"/>
      <c r="S5" s="16"/>
    </row>
    <row r="6" spans="1:19" x14ac:dyDescent="0.35">
      <c r="A6" s="97">
        <v>0</v>
      </c>
      <c r="B6" s="53">
        <v>2021</v>
      </c>
      <c r="C6" s="48">
        <f>$C$4*1.01^(B6-$B$4)</f>
        <v>1082.3261</v>
      </c>
      <c r="D6" s="98">
        <v>124100</v>
      </c>
      <c r="E6" s="98">
        <f>D6/1.03^(A6)</f>
        <v>124100</v>
      </c>
      <c r="F6" s="98">
        <f>D6/1.07^(A6)</f>
        <v>124100</v>
      </c>
      <c r="G6" s="98">
        <f>C6*D6</f>
        <v>134316669.00999999</v>
      </c>
      <c r="H6" s="98">
        <f>G6/1.03^(B6-$B6)</f>
        <v>134316669.00999999</v>
      </c>
      <c r="I6" s="98">
        <f>G6/1.07^(B6-$B$4)</f>
        <v>117317380.56598829</v>
      </c>
      <c r="J6" s="1"/>
      <c r="S6" s="16"/>
    </row>
    <row r="7" spans="1:19" x14ac:dyDescent="0.35">
      <c r="A7" s="66">
        <v>1</v>
      </c>
      <c r="B7" s="132">
        <v>2022</v>
      </c>
      <c r="C7" s="134">
        <f t="shared" ref="C7:C26" si="1">$C$4*1.01^(B7-$B$4)</f>
        <v>1093.149361</v>
      </c>
      <c r="D7" s="67">
        <v>124100</v>
      </c>
      <c r="E7" s="67">
        <f>D7/1.03^(A7)</f>
        <v>120485.43689320388</v>
      </c>
      <c r="F7" s="67">
        <f>D7/1.07^(A7)</f>
        <v>115981.30841121495</v>
      </c>
      <c r="G7" s="67">
        <f>C7*D7</f>
        <v>135659835.7001</v>
      </c>
      <c r="H7" s="67">
        <f t="shared" si="0"/>
        <v>124147967.15016651</v>
      </c>
      <c r="I7" s="67">
        <f>G7/1.07^(B7-$B$4)</f>
        <v>110738835.86135343</v>
      </c>
      <c r="J7" s="1"/>
      <c r="S7" s="16"/>
    </row>
    <row r="8" spans="1:19" x14ac:dyDescent="0.35">
      <c r="A8" s="53">
        <v>2</v>
      </c>
      <c r="B8" s="53">
        <v>2023</v>
      </c>
      <c r="C8" s="48">
        <f t="shared" si="1"/>
        <v>1104.08085461</v>
      </c>
      <c r="D8" s="98">
        <v>124100</v>
      </c>
      <c r="E8" s="98">
        <f t="shared" ref="E8:E26" si="2">D8/1.03^(A8)</f>
        <v>116976.15232349891</v>
      </c>
      <c r="F8" s="98">
        <f t="shared" ref="F8:F26" si="3">D8/1.07^(A8)</f>
        <v>108393.74617870557</v>
      </c>
      <c r="G8" s="64">
        <f t="shared" ref="G8:G26" si="4">C8*D8</f>
        <v>137016434.05710098</v>
      </c>
      <c r="H8" s="64">
        <f t="shared" ref="H8:H26" si="5">G8/1.03^(B8-$B$4)</f>
        <v>121737327.01132832</v>
      </c>
      <c r="I8" s="64">
        <f t="shared" ref="I8:I26" si="6">G8/1.07^(B8-$B$4)</f>
        <v>104529181.51398781</v>
      </c>
      <c r="J8" s="1"/>
      <c r="M8" s="30"/>
      <c r="S8" s="16"/>
    </row>
    <row r="9" spans="1:19" x14ac:dyDescent="0.35">
      <c r="A9" s="66">
        <v>3</v>
      </c>
      <c r="B9" s="132">
        <v>2024</v>
      </c>
      <c r="C9" s="134">
        <f t="shared" si="1"/>
        <v>1115.1216631560999</v>
      </c>
      <c r="D9" s="67">
        <f>D8*1.02</f>
        <v>126582</v>
      </c>
      <c r="E9" s="67">
        <f t="shared" si="2"/>
        <v>115840.46152424165</v>
      </c>
      <c r="F9" s="67">
        <f t="shared" si="3"/>
        <v>103328.61785259782</v>
      </c>
      <c r="G9" s="67">
        <f t="shared" si="4"/>
        <v>141154330.36562544</v>
      </c>
      <c r="H9" s="67">
        <f t="shared" si="5"/>
        <v>121760965.32725286</v>
      </c>
      <c r="I9" s="67">
        <f t="shared" si="6"/>
        <v>100641086.72496285</v>
      </c>
      <c r="J9" s="1"/>
      <c r="S9" s="16"/>
    </row>
    <row r="10" spans="1:19" x14ac:dyDescent="0.35">
      <c r="A10" s="53">
        <v>4</v>
      </c>
      <c r="B10" s="53">
        <v>2025</v>
      </c>
      <c r="C10" s="48">
        <f t="shared" si="1"/>
        <v>1126.2728797876612</v>
      </c>
      <c r="D10" s="64">
        <f>D9*1.02</f>
        <v>129113.64</v>
      </c>
      <c r="E10" s="98">
        <f t="shared" si="2"/>
        <v>114715.79684924902</v>
      </c>
      <c r="F10" s="98">
        <f t="shared" si="3"/>
        <v>98500.177766027831</v>
      </c>
      <c r="G10" s="64">
        <f t="shared" si="4"/>
        <v>145417191.14266735</v>
      </c>
      <c r="H10" s="64">
        <f t="shared" si="5"/>
        <v>121784608.23314166</v>
      </c>
      <c r="I10" s="64">
        <f t="shared" si="6"/>
        <v>96897614.527155831</v>
      </c>
      <c r="J10" s="1"/>
      <c r="S10" s="16"/>
    </row>
    <row r="11" spans="1:19" x14ac:dyDescent="0.35">
      <c r="A11" s="66">
        <v>5</v>
      </c>
      <c r="B11" s="132">
        <v>2026</v>
      </c>
      <c r="C11" s="134">
        <f t="shared" si="1"/>
        <v>1137.5356085855374</v>
      </c>
      <c r="D11" s="67">
        <f>D10*1.02</f>
        <v>131695.91279999999</v>
      </c>
      <c r="E11" s="67">
        <f t="shared" si="2"/>
        <v>113602.05124877086</v>
      </c>
      <c r="F11" s="67">
        <f t="shared" si="3"/>
        <v>93897.36572088633</v>
      </c>
      <c r="G11" s="67">
        <f t="shared" si="4"/>
        <v>149808790.31517586</v>
      </c>
      <c r="H11" s="67">
        <f t="shared" si="5"/>
        <v>121808255.72988592</v>
      </c>
      <c r="I11" s="67">
        <f t="shared" si="6"/>
        <v>93293385.500818595</v>
      </c>
      <c r="J11" s="1"/>
      <c r="S11" s="16"/>
    </row>
    <row r="12" spans="1:19" x14ac:dyDescent="0.35">
      <c r="A12" s="53">
        <v>6</v>
      </c>
      <c r="B12" s="53">
        <v>2027</v>
      </c>
      <c r="C12" s="48">
        <f t="shared" si="1"/>
        <v>1148.9109646713932</v>
      </c>
      <c r="D12" s="64">
        <f>D11*1.02</f>
        <v>134329.831056</v>
      </c>
      <c r="E12" s="98">
        <f t="shared" si="2"/>
        <v>112499.11871237503</v>
      </c>
      <c r="F12" s="98">
        <f t="shared" si="3"/>
        <v>89509.638350751469</v>
      </c>
      <c r="G12" s="64">
        <f t="shared" si="4"/>
        <v>154333015.78269422</v>
      </c>
      <c r="H12" s="64">
        <f t="shared" si="5"/>
        <v>121831907.81837721</v>
      </c>
      <c r="I12" s="64">
        <f t="shared" si="6"/>
        <v>89823220.32050781</v>
      </c>
      <c r="J12" s="1"/>
      <c r="S12" s="16"/>
    </row>
    <row r="13" spans="1:19" x14ac:dyDescent="0.35">
      <c r="A13" s="66">
        <v>7</v>
      </c>
      <c r="B13" s="132">
        <v>2028</v>
      </c>
      <c r="C13" s="134">
        <f t="shared" si="1"/>
        <v>1160.400074318107</v>
      </c>
      <c r="D13" s="76">
        <f t="shared" ref="D13:D26" si="7">D12</f>
        <v>134329.831056</v>
      </c>
      <c r="E13" s="67">
        <f t="shared" si="2"/>
        <v>109222.44535182041</v>
      </c>
      <c r="F13" s="67">
        <f t="shared" si="3"/>
        <v>83653.867617524724</v>
      </c>
      <c r="G13" s="67">
        <f t="shared" si="4"/>
        <v>155876345.94052115</v>
      </c>
      <c r="H13" s="67">
        <f t="shared" si="5"/>
        <v>119466239.70539899</v>
      </c>
      <c r="I13" s="67">
        <f t="shared" si="6"/>
        <v>84786404.227769032</v>
      </c>
      <c r="J13" s="1"/>
      <c r="S13" s="16"/>
    </row>
    <row r="14" spans="1:19" x14ac:dyDescent="0.35">
      <c r="A14" s="53">
        <v>8</v>
      </c>
      <c r="B14" s="53">
        <v>2029</v>
      </c>
      <c r="C14" s="48">
        <f t="shared" si="1"/>
        <v>1172.0040750612882</v>
      </c>
      <c r="D14" s="64">
        <f t="shared" si="7"/>
        <v>134329.831056</v>
      </c>
      <c r="E14" s="98">
        <f t="shared" si="2"/>
        <v>106041.20907943731</v>
      </c>
      <c r="F14" s="98">
        <f t="shared" si="3"/>
        <v>78181.184689275455</v>
      </c>
      <c r="G14" s="64">
        <f t="shared" si="4"/>
        <v>157435109.39992636</v>
      </c>
      <c r="H14" s="64">
        <f>G14/1.03^(B14-$B$4)</f>
        <v>117146506.89558543</v>
      </c>
      <c r="I14" s="64">
        <f t="shared" si="6"/>
        <v>80032026.420604423</v>
      </c>
      <c r="J14" s="1"/>
      <c r="S14" s="16"/>
    </row>
    <row r="15" spans="1:19" x14ac:dyDescent="0.35">
      <c r="A15" s="66">
        <v>9</v>
      </c>
      <c r="B15" s="132">
        <v>2030</v>
      </c>
      <c r="C15" s="134">
        <f t="shared" si="1"/>
        <v>1183.7241158119009</v>
      </c>
      <c r="D15" s="76">
        <f t="shared" si="7"/>
        <v>134329.831056</v>
      </c>
      <c r="E15" s="67">
        <f t="shared" si="2"/>
        <v>102952.63017421098</v>
      </c>
      <c r="F15" s="67">
        <f t="shared" si="3"/>
        <v>73066.527746986394</v>
      </c>
      <c r="G15" s="67">
        <f t="shared" si="4"/>
        <v>159009460.49392563</v>
      </c>
      <c r="H15" s="67">
        <f t="shared" si="5"/>
        <v>114871817.44130221</v>
      </c>
      <c r="I15" s="67">
        <f t="shared" si="6"/>
        <v>75544249.238140613</v>
      </c>
      <c r="J15" s="1"/>
      <c r="S15" s="16"/>
    </row>
    <row r="16" spans="1:19" x14ac:dyDescent="0.35">
      <c r="A16" s="53">
        <v>10</v>
      </c>
      <c r="B16" s="53">
        <v>2031</v>
      </c>
      <c r="C16" s="48">
        <f t="shared" si="1"/>
        <v>1195.5613569700199</v>
      </c>
      <c r="D16" s="64">
        <f t="shared" si="7"/>
        <v>134329.831056</v>
      </c>
      <c r="E16" s="98">
        <f t="shared" si="2"/>
        <v>99954.009877874734</v>
      </c>
      <c r="F16" s="98">
        <f t="shared" si="3"/>
        <v>68286.474529893836</v>
      </c>
      <c r="G16" s="64">
        <f t="shared" si="4"/>
        <v>160599555.09886488</v>
      </c>
      <c r="H16" s="64">
        <f>G16/1.03^(B16-$B$4)</f>
        <v>112641296.71428666</v>
      </c>
      <c r="I16" s="64">
        <f>G16/1.07^(B16-$B$4)</f>
        <v>71308123.112637416</v>
      </c>
      <c r="J16" s="1"/>
      <c r="S16" s="16"/>
    </row>
    <row r="17" spans="1:21" x14ac:dyDescent="0.35">
      <c r="A17" s="66">
        <v>11</v>
      </c>
      <c r="B17" s="132">
        <v>2032</v>
      </c>
      <c r="C17" s="134">
        <f t="shared" si="1"/>
        <v>1207.5169705397202</v>
      </c>
      <c r="D17" s="76">
        <f t="shared" si="7"/>
        <v>134329.831056</v>
      </c>
      <c r="E17" s="67">
        <f t="shared" si="2"/>
        <v>97042.728036771587</v>
      </c>
      <c r="F17" s="67">
        <f>D17/1.07^(A17)</f>
        <v>63819.135074667123</v>
      </c>
      <c r="G17" s="67">
        <f t="shared" si="4"/>
        <v>162205550.64985353</v>
      </c>
      <c r="H17" s="67">
        <f t="shared" si="5"/>
        <v>110454087.06934905</v>
      </c>
      <c r="I17" s="67">
        <f t="shared" si="6"/>
        <v>67309536.769872695</v>
      </c>
      <c r="J17" s="1"/>
      <c r="S17" s="16"/>
    </row>
    <row r="18" spans="1:21" x14ac:dyDescent="0.35">
      <c r="A18" s="53">
        <v>12</v>
      </c>
      <c r="B18" s="53">
        <v>2033</v>
      </c>
      <c r="C18" s="48">
        <f t="shared" si="1"/>
        <v>1219.5921402451174</v>
      </c>
      <c r="D18" s="64">
        <f t="shared" si="7"/>
        <v>134329.831056</v>
      </c>
      <c r="E18" s="98">
        <f t="shared" si="2"/>
        <v>94216.240812399614</v>
      </c>
      <c r="F18" s="98">
        <f t="shared" si="3"/>
        <v>59644.051471651524</v>
      </c>
      <c r="G18" s="64">
        <f t="shared" si="4"/>
        <v>163827606.15635207</v>
      </c>
      <c r="H18" s="64">
        <f t="shared" si="5"/>
        <v>108309347.5146044</v>
      </c>
      <c r="I18" s="64">
        <f t="shared" si="6"/>
        <v>63535170.222029373</v>
      </c>
      <c r="J18" s="1"/>
      <c r="S18" s="16"/>
    </row>
    <row r="19" spans="1:21" x14ac:dyDescent="0.35">
      <c r="A19" s="66">
        <v>13</v>
      </c>
      <c r="B19" s="132">
        <v>2034</v>
      </c>
      <c r="C19" s="134">
        <f t="shared" si="1"/>
        <v>1231.7880616475684</v>
      </c>
      <c r="D19" s="76">
        <f t="shared" si="7"/>
        <v>134329.831056</v>
      </c>
      <c r="E19" s="67">
        <f t="shared" si="2"/>
        <v>91472.078458640404</v>
      </c>
      <c r="F19" s="67">
        <f t="shared" si="3"/>
        <v>55742.104179113572</v>
      </c>
      <c r="G19" s="67">
        <f>C19*D19</f>
        <v>165465882.21791556</v>
      </c>
      <c r="H19" s="67">
        <f t="shared" si="5"/>
        <v>106206253.38810721</v>
      </c>
      <c r="I19" s="67">
        <f t="shared" si="6"/>
        <v>59972450.396495</v>
      </c>
      <c r="J19" s="1"/>
      <c r="S19" s="16"/>
    </row>
    <row r="20" spans="1:21" x14ac:dyDescent="0.35">
      <c r="A20" s="53">
        <v>14</v>
      </c>
      <c r="B20" s="53">
        <v>2035</v>
      </c>
      <c r="C20" s="48">
        <f t="shared" si="1"/>
        <v>1244.1059422640444</v>
      </c>
      <c r="D20" s="64">
        <f t="shared" si="7"/>
        <v>134329.831056</v>
      </c>
      <c r="E20" s="98">
        <f t="shared" si="2"/>
        <v>88807.843163728539</v>
      </c>
      <c r="F20" s="98">
        <f t="shared" si="3"/>
        <v>52095.424466461285</v>
      </c>
      <c r="G20" s="64">
        <f t="shared" si="4"/>
        <v>167120541.04009476</v>
      </c>
      <c r="H20" s="64">
        <f t="shared" si="5"/>
        <v>104143996.04076536</v>
      </c>
      <c r="I20" s="64">
        <f t="shared" si="6"/>
        <v>56609509.252766326</v>
      </c>
      <c r="J20" s="1"/>
      <c r="S20" s="16"/>
    </row>
    <row r="21" spans="1:21" x14ac:dyDescent="0.35">
      <c r="A21" s="66">
        <v>15</v>
      </c>
      <c r="B21" s="132">
        <v>2036</v>
      </c>
      <c r="C21" s="134">
        <f t="shared" si="1"/>
        <v>1256.547001686685</v>
      </c>
      <c r="D21" s="76">
        <f t="shared" si="7"/>
        <v>134329.831056</v>
      </c>
      <c r="E21" s="67">
        <f t="shared" si="2"/>
        <v>86221.206955076239</v>
      </c>
      <c r="F21" s="67">
        <f t="shared" si="3"/>
        <v>48687.312585477834</v>
      </c>
      <c r="G21" s="67">
        <f t="shared" si="4"/>
        <v>168791746.45049575</v>
      </c>
      <c r="H21" s="67">
        <f t="shared" si="5"/>
        <v>102121782.52541071</v>
      </c>
      <c r="I21" s="67">
        <f t="shared" si="6"/>
        <v>53435144.24793832</v>
      </c>
      <c r="J21" s="1"/>
      <c r="S21" s="16"/>
    </row>
    <row r="22" spans="1:21" x14ac:dyDescent="0.35">
      <c r="A22" s="53">
        <v>16</v>
      </c>
      <c r="B22" s="53">
        <v>2037</v>
      </c>
      <c r="C22" s="48">
        <f t="shared" si="1"/>
        <v>1269.1124717035518</v>
      </c>
      <c r="D22" s="64">
        <f t="shared" si="7"/>
        <v>134329.831056</v>
      </c>
      <c r="E22" s="98">
        <f t="shared" si="2"/>
        <v>83709.909665122585</v>
      </c>
      <c r="F22" s="98">
        <f t="shared" si="3"/>
        <v>45502.161294839098</v>
      </c>
      <c r="G22" s="64">
        <f t="shared" si="4"/>
        <v>170479663.91500068</v>
      </c>
      <c r="H22" s="64">
        <f t="shared" si="5"/>
        <v>100138835.29190758</v>
      </c>
      <c r="I22" s="64">
        <f t="shared" si="6"/>
        <v>50438781.019081958</v>
      </c>
      <c r="J22" s="1"/>
      <c r="S22" s="16"/>
    </row>
    <row r="23" spans="1:21" x14ac:dyDescent="0.35">
      <c r="A23" s="66">
        <v>17</v>
      </c>
      <c r="B23" s="132">
        <v>2038</v>
      </c>
      <c r="C23" s="134">
        <f t="shared" si="1"/>
        <v>1281.8035964205872</v>
      </c>
      <c r="D23" s="76">
        <f t="shared" si="7"/>
        <v>134329.831056</v>
      </c>
      <c r="E23" s="67">
        <f t="shared" si="2"/>
        <v>81271.756956429686</v>
      </c>
      <c r="F23" s="67">
        <f t="shared" si="3"/>
        <v>42525.384387700091</v>
      </c>
      <c r="G23" s="67">
        <f t="shared" si="4"/>
        <v>172184460.55415067</v>
      </c>
      <c r="H23" s="67">
        <f t="shared" si="5"/>
        <v>98194391.88818121</v>
      </c>
      <c r="I23" s="67">
        <f t="shared" si="6"/>
        <v>47610438.158198848</v>
      </c>
      <c r="J23" s="1"/>
      <c r="S23" s="16"/>
    </row>
    <row r="24" spans="1:21" x14ac:dyDescent="0.35">
      <c r="A24" s="53">
        <v>18</v>
      </c>
      <c r="B24" s="53">
        <v>2039</v>
      </c>
      <c r="C24" s="48">
        <f t="shared" si="1"/>
        <v>1294.621632384793</v>
      </c>
      <c r="D24" s="64">
        <f t="shared" si="7"/>
        <v>134329.831056</v>
      </c>
      <c r="E24" s="98">
        <f t="shared" si="2"/>
        <v>78904.618404300665</v>
      </c>
      <c r="F24" s="98">
        <f t="shared" si="3"/>
        <v>39743.349895046813</v>
      </c>
      <c r="G24" s="64">
        <f t="shared" si="4"/>
        <v>173906305.15969217</v>
      </c>
      <c r="H24" s="64">
        <f t="shared" si="5"/>
        <v>96287704.667051479</v>
      </c>
      <c r="I24" s="64">
        <f t="shared" si="6"/>
        <v>44940693.962412</v>
      </c>
      <c r="J24" s="1"/>
      <c r="S24" s="16"/>
    </row>
    <row r="25" spans="1:21" x14ac:dyDescent="0.35">
      <c r="A25" s="66">
        <v>19</v>
      </c>
      <c r="B25" s="132">
        <v>2040</v>
      </c>
      <c r="C25" s="134">
        <f t="shared" si="1"/>
        <v>1307.5678487086409</v>
      </c>
      <c r="D25" s="76">
        <f t="shared" si="7"/>
        <v>134329.831056</v>
      </c>
      <c r="E25" s="67">
        <f t="shared" si="2"/>
        <v>76606.425635243373</v>
      </c>
      <c r="F25" s="67">
        <f t="shared" si="3"/>
        <v>37143.317658922257</v>
      </c>
      <c r="G25" s="67">
        <f t="shared" si="4"/>
        <v>175645368.21128911</v>
      </c>
      <c r="H25" s="67">
        <f t="shared" si="5"/>
        <v>94418040.49875924</v>
      </c>
      <c r="I25" s="67">
        <f t="shared" si="6"/>
        <v>42420655.048631892</v>
      </c>
      <c r="J25" s="1"/>
      <c r="S25" s="16"/>
    </row>
    <row r="26" spans="1:21" x14ac:dyDescent="0.35">
      <c r="A26" s="53">
        <v>20</v>
      </c>
      <c r="B26" s="53">
        <v>2041</v>
      </c>
      <c r="C26" s="48">
        <f t="shared" si="1"/>
        <v>1320.6435271957275</v>
      </c>
      <c r="D26" s="64">
        <f t="shared" si="7"/>
        <v>134329.831056</v>
      </c>
      <c r="E26" s="98">
        <f t="shared" si="2"/>
        <v>74375.170519653751</v>
      </c>
      <c r="F26" s="98">
        <f t="shared" si="3"/>
        <v>34713.380989646968</v>
      </c>
      <c r="G26" s="64">
        <f t="shared" si="4"/>
        <v>177401821.89340201</v>
      </c>
      <c r="H26" s="64">
        <f t="shared" si="5"/>
        <v>92584680.489074588</v>
      </c>
      <c r="I26" s="64">
        <f t="shared" si="6"/>
        <v>40041926.728147864</v>
      </c>
      <c r="J26" s="1"/>
      <c r="S26" s="16"/>
    </row>
    <row r="27" spans="1:21" x14ac:dyDescent="0.35">
      <c r="A27" s="66"/>
      <c r="B27" s="66"/>
      <c r="C27" s="134"/>
      <c r="D27" s="76"/>
      <c r="E27" s="67"/>
      <c r="F27" s="67"/>
      <c r="G27" s="67"/>
      <c r="H27" s="67"/>
      <c r="I27" s="67"/>
      <c r="J27" s="1"/>
      <c r="S27" s="16"/>
    </row>
    <row r="28" spans="1:21" x14ac:dyDescent="0.35">
      <c r="A28" s="53"/>
      <c r="B28" s="97"/>
      <c r="C28" s="48"/>
      <c r="D28" s="64"/>
      <c r="E28" s="98"/>
      <c r="F28" s="98"/>
      <c r="G28" s="64"/>
      <c r="H28" s="64"/>
      <c r="I28" s="64"/>
    </row>
    <row r="29" spans="1:21" x14ac:dyDescent="0.35">
      <c r="A29" s="105"/>
      <c r="B29" s="105"/>
      <c r="C29" s="114"/>
      <c r="D29" s="115"/>
      <c r="E29" s="115"/>
      <c r="F29" s="115"/>
      <c r="G29" s="115"/>
      <c r="H29" s="115"/>
      <c r="I29" s="115"/>
    </row>
    <row r="30" spans="1:21" ht="15" thickBot="1" x14ac:dyDescent="0.4">
      <c r="A30" s="116" t="s">
        <v>22</v>
      </c>
      <c r="B30" s="116"/>
      <c r="C30" s="117"/>
      <c r="D30" s="118">
        <f>D26-D7</f>
        <v>10229.831055999995</v>
      </c>
      <c r="E30" s="118"/>
      <c r="F30" s="118"/>
      <c r="G30" s="119">
        <f>D30*C26</f>
        <v>13509960.168412227</v>
      </c>
      <c r="H30" s="118">
        <f>G30/1.03^20</f>
        <v>7480137.3852729844</v>
      </c>
      <c r="I30" s="118">
        <f>G30/1.07^20</f>
        <v>3491230.4347761734</v>
      </c>
      <c r="S30" s="16"/>
      <c r="T30" s="16"/>
      <c r="U30" s="16"/>
    </row>
    <row r="31" spans="1:21" x14ac:dyDescent="0.35">
      <c r="A31" s="18"/>
      <c r="D31" s="75"/>
      <c r="F31" s="15"/>
      <c r="G31" s="15"/>
    </row>
    <row r="32" spans="1:21" x14ac:dyDescent="0.35">
      <c r="A32" s="18" t="s">
        <v>233</v>
      </c>
      <c r="D32" s="75" t="s">
        <v>96</v>
      </c>
      <c r="F32" s="15"/>
      <c r="G32" s="15"/>
    </row>
    <row r="33" spans="1:8" x14ac:dyDescent="0.35">
      <c r="A33" s="19"/>
      <c r="G33" s="15"/>
      <c r="H33" s="15"/>
    </row>
    <row r="34" spans="1:8" x14ac:dyDescent="0.35">
      <c r="A34" s="20" t="s">
        <v>59</v>
      </c>
    </row>
    <row r="35" spans="1:8" x14ac:dyDescent="0.35">
      <c r="A35" s="20" t="s">
        <v>45</v>
      </c>
    </row>
    <row r="36" spans="1:8" x14ac:dyDescent="0.35">
      <c r="A36" s="20" t="s">
        <v>86</v>
      </c>
    </row>
    <row r="37" spans="1:8" x14ac:dyDescent="0.35">
      <c r="A37" s="20" t="s">
        <v>87</v>
      </c>
    </row>
    <row r="38" spans="1:8" x14ac:dyDescent="0.35">
      <c r="A38" s="20" t="s">
        <v>60</v>
      </c>
    </row>
    <row r="39" spans="1:8" x14ac:dyDescent="0.35">
      <c r="A39" s="20" t="s">
        <v>61</v>
      </c>
    </row>
    <row r="40" spans="1:8" x14ac:dyDescent="0.35">
      <c r="A40" s="20" t="s">
        <v>62</v>
      </c>
    </row>
    <row r="41" spans="1:8" x14ac:dyDescent="0.35">
      <c r="A41" s="20" t="s">
        <v>63</v>
      </c>
    </row>
    <row r="42" spans="1:8" x14ac:dyDescent="0.35">
      <c r="A42" s="20" t="s">
        <v>64</v>
      </c>
    </row>
    <row r="43" spans="1:8" x14ac:dyDescent="0.35">
      <c r="A43" s="3"/>
    </row>
    <row r="44" spans="1:8" x14ac:dyDescent="0.35">
      <c r="A44"/>
    </row>
    <row r="45" spans="1:8" x14ac:dyDescent="0.35">
      <c r="A45" s="3"/>
    </row>
    <row r="46" spans="1:8" x14ac:dyDescent="0.35">
      <c r="A46" s="8"/>
    </row>
    <row r="47" spans="1:8" x14ac:dyDescent="0.35">
      <c r="A47" s="8"/>
    </row>
    <row r="48" spans="1:8" x14ac:dyDescent="0.35">
      <c r="A48" s="8"/>
    </row>
    <row r="49" spans="1:2" x14ac:dyDescent="0.35">
      <c r="A49" s="8"/>
    </row>
    <row r="50" spans="1:2" x14ac:dyDescent="0.35">
      <c r="A50" s="8"/>
    </row>
    <row r="51" spans="1:2" x14ac:dyDescent="0.35">
      <c r="A51" s="8"/>
    </row>
    <row r="52" spans="1:2" x14ac:dyDescent="0.35">
      <c r="A52" s="8"/>
    </row>
    <row r="53" spans="1:2" x14ac:dyDescent="0.35">
      <c r="A53" s="8"/>
    </row>
    <row r="54" spans="1:2" x14ac:dyDescent="0.35">
      <c r="A54" s="8"/>
    </row>
    <row r="56" spans="1:2" x14ac:dyDescent="0.35">
      <c r="A56" s="9"/>
      <c r="B56" s="10"/>
    </row>
    <row r="57" spans="1:2" x14ac:dyDescent="0.35">
      <c r="A57" s="11"/>
      <c r="B57" s="10"/>
    </row>
    <row r="58" spans="1:2" x14ac:dyDescent="0.35">
      <c r="A58" s="12"/>
      <c r="B58" s="12"/>
    </row>
    <row r="59" spans="1:2" x14ac:dyDescent="0.35">
      <c r="A59" s="11"/>
      <c r="B59" s="13"/>
    </row>
    <row r="60" spans="1:2" x14ac:dyDescent="0.35">
      <c r="A60" s="11"/>
      <c r="B60" s="13"/>
    </row>
    <row r="61" spans="1:2" x14ac:dyDescent="0.35">
      <c r="A61" s="11"/>
      <c r="B61" s="13"/>
    </row>
    <row r="62" spans="1:2" x14ac:dyDescent="0.35">
      <c r="A62" s="11"/>
      <c r="B62" s="13"/>
    </row>
    <row r="63" spans="1:2" x14ac:dyDescent="0.35">
      <c r="A63" s="11"/>
      <c r="B63" s="13"/>
    </row>
    <row r="64" spans="1:2" x14ac:dyDescent="0.35">
      <c r="A64" s="11"/>
      <c r="B64" s="13"/>
    </row>
    <row r="65" spans="1:2" x14ac:dyDescent="0.35">
      <c r="A65" s="11"/>
      <c r="B65" s="13"/>
    </row>
    <row r="66" spans="1:2" x14ac:dyDescent="0.35">
      <c r="A66" s="11"/>
      <c r="B66" s="13"/>
    </row>
    <row r="67" spans="1:2" x14ac:dyDescent="0.35">
      <c r="A67" s="11"/>
      <c r="B67" s="13"/>
    </row>
    <row r="68" spans="1:2" x14ac:dyDescent="0.35">
      <c r="A68" s="11"/>
      <c r="B68" s="13"/>
    </row>
    <row r="69" spans="1:2" x14ac:dyDescent="0.35">
      <c r="A69" s="11"/>
      <c r="B69" s="13"/>
    </row>
    <row r="70" spans="1:2" x14ac:dyDescent="0.35">
      <c r="A70" s="11"/>
      <c r="B70" s="13"/>
    </row>
    <row r="71" spans="1:2" x14ac:dyDescent="0.35">
      <c r="A71" s="11"/>
      <c r="B71" s="13"/>
    </row>
    <row r="72" spans="1:2" x14ac:dyDescent="0.35">
      <c r="A72" s="11"/>
      <c r="B72" s="13"/>
    </row>
    <row r="73" spans="1:2" x14ac:dyDescent="0.35">
      <c r="A73" s="11"/>
      <c r="B73" s="13"/>
    </row>
    <row r="74" spans="1:2" x14ac:dyDescent="0.35">
      <c r="A74" s="11"/>
      <c r="B74" s="13"/>
    </row>
    <row r="75" spans="1:2" x14ac:dyDescent="0.35">
      <c r="A75" s="11"/>
      <c r="B75" s="13"/>
    </row>
    <row r="76" spans="1:2" x14ac:dyDescent="0.35">
      <c r="A76" s="11"/>
      <c r="B76" s="13"/>
    </row>
    <row r="77" spans="1:2" x14ac:dyDescent="0.35">
      <c r="A77" s="11"/>
      <c r="B77" s="13"/>
    </row>
    <row r="78" spans="1:2" x14ac:dyDescent="0.35">
      <c r="A78" s="11"/>
      <c r="B78" s="13"/>
    </row>
    <row r="79" spans="1:2" x14ac:dyDescent="0.35">
      <c r="A79" s="11"/>
      <c r="B79" s="13"/>
    </row>
    <row r="80" spans="1:2" x14ac:dyDescent="0.35">
      <c r="A80" s="11"/>
      <c r="B80" s="13"/>
    </row>
    <row r="81" spans="1:2" x14ac:dyDescent="0.35">
      <c r="A81" s="11"/>
      <c r="B81" s="10"/>
    </row>
    <row r="82" spans="1:2" x14ac:dyDescent="0.35">
      <c r="A82" s="11"/>
      <c r="B82" s="14"/>
    </row>
    <row r="83" spans="1:2" x14ac:dyDescent="0.35">
      <c r="A83" s="11"/>
      <c r="B83" s="10"/>
    </row>
  </sheetData>
  <hyperlinks>
    <hyperlink ref="D32" r:id="rId1" xr:uid="{00000000-0004-0000-0300-000000000000}"/>
  </hyperlinks>
  <pageMargins left="0.7" right="0.7" top="0.75" bottom="0.75" header="0.3" footer="0.3"/>
  <pageSetup scale="75" orientation="landscape" r:id="rId2"/>
  <ignoredErrors>
    <ignoredError sqref="H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80"/>
  <sheetViews>
    <sheetView workbookViewId="0">
      <pane ySplit="3" topLeftCell="A4" activePane="bottomLeft" state="frozen"/>
      <selection pane="bottomLeft" activeCell="L19" sqref="L19"/>
    </sheetView>
  </sheetViews>
  <sheetFormatPr defaultRowHeight="14.5" x14ac:dyDescent="0.35"/>
  <cols>
    <col min="1" max="1" width="12.54296875" style="1" customWidth="1"/>
    <col min="2" max="2" width="12.54296875" customWidth="1"/>
    <col min="3" max="3" width="15.54296875" customWidth="1"/>
    <col min="4" max="5" width="15.453125" customWidth="1"/>
    <col min="6" max="6" width="11.1796875" bestFit="1" customWidth="1"/>
    <col min="7" max="7" width="10.81640625" customWidth="1"/>
    <col min="16" max="16" width="10.81640625" customWidth="1"/>
    <col min="17" max="17" width="12" customWidth="1"/>
    <col min="18" max="18" width="11.54296875" customWidth="1"/>
  </cols>
  <sheetData>
    <row r="1" spans="1:17" ht="15.5" x14ac:dyDescent="0.35">
      <c r="A1" s="104" t="s">
        <v>221</v>
      </c>
    </row>
    <row r="3" spans="1:17" s="2" customFormat="1" ht="43.5" x14ac:dyDescent="0.35">
      <c r="A3" s="92" t="s">
        <v>44</v>
      </c>
      <c r="B3" s="92" t="s">
        <v>0</v>
      </c>
      <c r="C3" s="92" t="s">
        <v>93</v>
      </c>
      <c r="D3" s="92" t="s">
        <v>146</v>
      </c>
      <c r="E3" s="92" t="s">
        <v>147</v>
      </c>
      <c r="F3" s="92" t="s">
        <v>19</v>
      </c>
      <c r="G3" s="92" t="s">
        <v>20</v>
      </c>
    </row>
    <row r="4" spans="1:17" s="1" customFormat="1" x14ac:dyDescent="0.35">
      <c r="A4" s="66">
        <v>0</v>
      </c>
      <c r="B4" s="66">
        <v>2019</v>
      </c>
      <c r="C4" s="45">
        <v>0</v>
      </c>
      <c r="D4" s="52">
        <f>150750-3200</f>
        <v>147550</v>
      </c>
      <c r="E4" s="52">
        <f>D4*C4</f>
        <v>0</v>
      </c>
      <c r="F4" s="67">
        <f>E4/1.03^(A4)</f>
        <v>0</v>
      </c>
      <c r="G4" s="67">
        <f>E4/1.07^(A4)</f>
        <v>0</v>
      </c>
    </row>
    <row r="5" spans="1:17" x14ac:dyDescent="0.35">
      <c r="A5" s="53">
        <v>0</v>
      </c>
      <c r="B5" s="53">
        <v>2020</v>
      </c>
      <c r="C5" s="49">
        <v>0</v>
      </c>
      <c r="D5" s="51">
        <f t="shared" ref="D5:D26" si="0">150750-3200</f>
        <v>147550</v>
      </c>
      <c r="E5" s="51">
        <f t="shared" ref="E5:E26" si="1">D5*C5</f>
        <v>0</v>
      </c>
      <c r="F5" s="64">
        <f>E5/1.03^(A5)</f>
        <v>0</v>
      </c>
      <c r="G5" s="64">
        <f>E5/1.07^(A5)</f>
        <v>0</v>
      </c>
      <c r="H5" s="1"/>
      <c r="Q5" s="16"/>
    </row>
    <row r="6" spans="1:17" x14ac:dyDescent="0.35">
      <c r="A6" s="66">
        <v>0</v>
      </c>
      <c r="B6" s="66">
        <v>2021</v>
      </c>
      <c r="C6" s="45">
        <v>0</v>
      </c>
      <c r="D6" s="52">
        <f t="shared" si="0"/>
        <v>147550</v>
      </c>
      <c r="E6" s="52">
        <f t="shared" si="1"/>
        <v>0</v>
      </c>
      <c r="F6" s="67">
        <f t="shared" ref="F6:F26" si="2">E6/1.03^(A6)</f>
        <v>0</v>
      </c>
      <c r="G6" s="67">
        <f t="shared" ref="G6:G26" si="3">E6/1.07^(A6)</f>
        <v>0</v>
      </c>
      <c r="H6" s="1"/>
      <c r="Q6" s="16"/>
    </row>
    <row r="7" spans="1:17" x14ac:dyDescent="0.35">
      <c r="A7" s="53">
        <v>1</v>
      </c>
      <c r="B7" s="53">
        <v>2022</v>
      </c>
      <c r="C7" s="49">
        <v>133</v>
      </c>
      <c r="D7" s="51">
        <f t="shared" si="0"/>
        <v>147550</v>
      </c>
      <c r="E7" s="51">
        <f t="shared" si="1"/>
        <v>19624150</v>
      </c>
      <c r="F7" s="64">
        <f t="shared" si="2"/>
        <v>19052572.815533981</v>
      </c>
      <c r="G7" s="64">
        <f t="shared" si="3"/>
        <v>18340327.102803737</v>
      </c>
      <c r="H7" s="1"/>
      <c r="Q7" s="16"/>
    </row>
    <row r="8" spans="1:17" x14ac:dyDescent="0.35">
      <c r="A8" s="66">
        <v>2</v>
      </c>
      <c r="B8" s="66">
        <v>2023</v>
      </c>
      <c r="C8" s="45">
        <v>0</v>
      </c>
      <c r="D8" s="52">
        <f t="shared" si="0"/>
        <v>147550</v>
      </c>
      <c r="E8" s="52">
        <f t="shared" si="1"/>
        <v>0</v>
      </c>
      <c r="F8" s="67">
        <f t="shared" si="2"/>
        <v>0</v>
      </c>
      <c r="G8" s="67">
        <f t="shared" si="3"/>
        <v>0</v>
      </c>
      <c r="H8" s="1"/>
      <c r="Q8" s="16"/>
    </row>
    <row r="9" spans="1:17" x14ac:dyDescent="0.35">
      <c r="A9" s="53">
        <v>3</v>
      </c>
      <c r="B9" s="53">
        <v>2024</v>
      </c>
      <c r="C9" s="49">
        <v>0</v>
      </c>
      <c r="D9" s="51">
        <f t="shared" si="0"/>
        <v>147550</v>
      </c>
      <c r="E9" s="51">
        <f t="shared" si="1"/>
        <v>0</v>
      </c>
      <c r="F9" s="64">
        <f t="shared" ref="F9" si="4">E9/1.03^(A9)</f>
        <v>0</v>
      </c>
      <c r="G9" s="64">
        <f t="shared" ref="G9" si="5">E9/1.07^(A9)</f>
        <v>0</v>
      </c>
      <c r="H9" s="1"/>
      <c r="Q9" s="16"/>
    </row>
    <row r="10" spans="1:17" x14ac:dyDescent="0.35">
      <c r="A10" s="66">
        <v>4</v>
      </c>
      <c r="B10" s="66">
        <v>2025</v>
      </c>
      <c r="C10" s="135">
        <v>0</v>
      </c>
      <c r="D10" s="136">
        <f t="shared" si="0"/>
        <v>147550</v>
      </c>
      <c r="E10" s="136">
        <f>D10*C10</f>
        <v>0</v>
      </c>
      <c r="F10" s="76">
        <f t="shared" ref="F10" si="6">E10/1.03^(A10)</f>
        <v>0</v>
      </c>
      <c r="G10" s="76">
        <f t="shared" ref="G10" si="7">E10/1.07^(A10)</f>
        <v>0</v>
      </c>
      <c r="H10" s="1"/>
      <c r="Q10" s="16"/>
    </row>
    <row r="11" spans="1:17" x14ac:dyDescent="0.35">
      <c r="A11" s="53">
        <v>5</v>
      </c>
      <c r="B11" s="53">
        <v>2026</v>
      </c>
      <c r="C11" s="49">
        <v>0</v>
      </c>
      <c r="D11" s="51">
        <f t="shared" si="0"/>
        <v>147550</v>
      </c>
      <c r="E11" s="51">
        <f t="shared" si="1"/>
        <v>0</v>
      </c>
      <c r="F11" s="64">
        <f t="shared" si="2"/>
        <v>0</v>
      </c>
      <c r="G11" s="64">
        <f t="shared" si="3"/>
        <v>0</v>
      </c>
      <c r="H11" s="1"/>
      <c r="Q11" s="16"/>
    </row>
    <row r="12" spans="1:17" x14ac:dyDescent="0.35">
      <c r="A12" s="66">
        <v>6</v>
      </c>
      <c r="B12" s="66">
        <v>2027</v>
      </c>
      <c r="C12" s="45">
        <v>0</v>
      </c>
      <c r="D12" s="52">
        <f t="shared" si="0"/>
        <v>147550</v>
      </c>
      <c r="E12" s="52">
        <f t="shared" si="1"/>
        <v>0</v>
      </c>
      <c r="F12" s="67">
        <f t="shared" si="2"/>
        <v>0</v>
      </c>
      <c r="G12" s="67">
        <f t="shared" si="3"/>
        <v>0</v>
      </c>
      <c r="H12" s="1"/>
      <c r="Q12" s="16"/>
    </row>
    <row r="13" spans="1:17" x14ac:dyDescent="0.35">
      <c r="A13" s="53">
        <v>7</v>
      </c>
      <c r="B13" s="53">
        <v>2028</v>
      </c>
      <c r="C13" s="49">
        <v>0</v>
      </c>
      <c r="D13" s="51">
        <f t="shared" si="0"/>
        <v>147550</v>
      </c>
      <c r="E13" s="51">
        <f t="shared" si="1"/>
        <v>0</v>
      </c>
      <c r="F13" s="64">
        <f t="shared" si="2"/>
        <v>0</v>
      </c>
      <c r="G13" s="64">
        <f t="shared" si="3"/>
        <v>0</v>
      </c>
      <c r="H13" s="1"/>
      <c r="Q13" s="16"/>
    </row>
    <row r="14" spans="1:17" x14ac:dyDescent="0.35">
      <c r="A14" s="66">
        <v>8</v>
      </c>
      <c r="B14" s="66">
        <v>2029</v>
      </c>
      <c r="C14" s="45">
        <v>0</v>
      </c>
      <c r="D14" s="52">
        <f t="shared" si="0"/>
        <v>147550</v>
      </c>
      <c r="E14" s="52">
        <f t="shared" si="1"/>
        <v>0</v>
      </c>
      <c r="F14" s="67">
        <f t="shared" si="2"/>
        <v>0</v>
      </c>
      <c r="G14" s="67">
        <f t="shared" si="3"/>
        <v>0</v>
      </c>
      <c r="H14" s="1"/>
      <c r="Q14" s="16"/>
    </row>
    <row r="15" spans="1:17" x14ac:dyDescent="0.35">
      <c r="A15" s="53">
        <v>9</v>
      </c>
      <c r="B15" s="53">
        <v>2030</v>
      </c>
      <c r="C15" s="49">
        <v>0</v>
      </c>
      <c r="D15" s="51">
        <f t="shared" si="0"/>
        <v>147550</v>
      </c>
      <c r="E15" s="51">
        <f t="shared" si="1"/>
        <v>0</v>
      </c>
      <c r="F15" s="64">
        <f t="shared" si="2"/>
        <v>0</v>
      </c>
      <c r="G15" s="64">
        <f t="shared" si="3"/>
        <v>0</v>
      </c>
      <c r="H15" s="1"/>
      <c r="Q15" s="16"/>
    </row>
    <row r="16" spans="1:17" x14ac:dyDescent="0.35">
      <c r="A16" s="66">
        <v>10</v>
      </c>
      <c r="B16" s="66">
        <v>2031</v>
      </c>
      <c r="C16" s="45">
        <v>0</v>
      </c>
      <c r="D16" s="52">
        <f t="shared" si="0"/>
        <v>147550</v>
      </c>
      <c r="E16" s="52">
        <f t="shared" si="1"/>
        <v>0</v>
      </c>
      <c r="F16" s="67">
        <f t="shared" si="2"/>
        <v>0</v>
      </c>
      <c r="G16" s="67">
        <f t="shared" si="3"/>
        <v>0</v>
      </c>
      <c r="H16" s="1"/>
      <c r="Q16" s="16"/>
    </row>
    <row r="17" spans="1:17" x14ac:dyDescent="0.35">
      <c r="A17" s="53">
        <v>11</v>
      </c>
      <c r="B17" s="53">
        <v>2032</v>
      </c>
      <c r="C17" s="49">
        <v>0</v>
      </c>
      <c r="D17" s="51">
        <f t="shared" si="0"/>
        <v>147550</v>
      </c>
      <c r="E17" s="51">
        <f t="shared" si="1"/>
        <v>0</v>
      </c>
      <c r="F17" s="64">
        <f t="shared" si="2"/>
        <v>0</v>
      </c>
      <c r="G17" s="64">
        <f t="shared" si="3"/>
        <v>0</v>
      </c>
      <c r="H17" s="1"/>
      <c r="Q17" s="16"/>
    </row>
    <row r="18" spans="1:17" x14ac:dyDescent="0.35">
      <c r="A18" s="66">
        <v>12</v>
      </c>
      <c r="B18" s="66">
        <v>2033</v>
      </c>
      <c r="C18" s="45">
        <v>0</v>
      </c>
      <c r="D18" s="52">
        <f t="shared" si="0"/>
        <v>147550</v>
      </c>
      <c r="E18" s="52">
        <f t="shared" si="1"/>
        <v>0</v>
      </c>
      <c r="F18" s="67">
        <f t="shared" si="2"/>
        <v>0</v>
      </c>
      <c r="G18" s="67">
        <f t="shared" si="3"/>
        <v>0</v>
      </c>
      <c r="H18" s="1"/>
      <c r="Q18" s="16"/>
    </row>
    <row r="19" spans="1:17" x14ac:dyDescent="0.35">
      <c r="A19" s="53">
        <v>13</v>
      </c>
      <c r="B19" s="53">
        <v>2034</v>
      </c>
      <c r="C19" s="49">
        <v>0</v>
      </c>
      <c r="D19" s="51">
        <f t="shared" si="0"/>
        <v>147550</v>
      </c>
      <c r="E19" s="51">
        <f t="shared" si="1"/>
        <v>0</v>
      </c>
      <c r="F19" s="64">
        <f t="shared" si="2"/>
        <v>0</v>
      </c>
      <c r="G19" s="64">
        <f t="shared" si="3"/>
        <v>0</v>
      </c>
      <c r="H19" s="1"/>
      <c r="Q19" s="16"/>
    </row>
    <row r="20" spans="1:17" x14ac:dyDescent="0.35">
      <c r="A20" s="66">
        <v>14</v>
      </c>
      <c r="B20" s="66">
        <v>2035</v>
      </c>
      <c r="C20" s="45">
        <v>0</v>
      </c>
      <c r="D20" s="52">
        <f t="shared" si="0"/>
        <v>147550</v>
      </c>
      <c r="E20" s="52">
        <f t="shared" si="1"/>
        <v>0</v>
      </c>
      <c r="F20" s="67">
        <f t="shared" si="2"/>
        <v>0</v>
      </c>
      <c r="G20" s="67">
        <f t="shared" si="3"/>
        <v>0</v>
      </c>
      <c r="H20" s="1"/>
      <c r="Q20" s="16"/>
    </row>
    <row r="21" spans="1:17" x14ac:dyDescent="0.35">
      <c r="A21" s="53">
        <v>15</v>
      </c>
      <c r="B21" s="53">
        <v>2036</v>
      </c>
      <c r="C21" s="49">
        <v>0</v>
      </c>
      <c r="D21" s="51">
        <f t="shared" si="0"/>
        <v>147550</v>
      </c>
      <c r="E21" s="51">
        <f t="shared" si="1"/>
        <v>0</v>
      </c>
      <c r="F21" s="64">
        <f t="shared" si="2"/>
        <v>0</v>
      </c>
      <c r="G21" s="64">
        <f t="shared" si="3"/>
        <v>0</v>
      </c>
      <c r="H21" s="1"/>
      <c r="Q21" s="16"/>
    </row>
    <row r="22" spans="1:17" x14ac:dyDescent="0.35">
      <c r="A22" s="66">
        <v>16</v>
      </c>
      <c r="B22" s="66">
        <v>2037</v>
      </c>
      <c r="C22" s="45">
        <v>0</v>
      </c>
      <c r="D22" s="52">
        <f t="shared" si="0"/>
        <v>147550</v>
      </c>
      <c r="E22" s="52">
        <f t="shared" si="1"/>
        <v>0</v>
      </c>
      <c r="F22" s="67">
        <f t="shared" si="2"/>
        <v>0</v>
      </c>
      <c r="G22" s="67">
        <f t="shared" si="3"/>
        <v>0</v>
      </c>
      <c r="H22" s="1"/>
      <c r="Q22" s="16"/>
    </row>
    <row r="23" spans="1:17" x14ac:dyDescent="0.35">
      <c r="A23" s="53">
        <v>17</v>
      </c>
      <c r="B23" s="53">
        <v>2038</v>
      </c>
      <c r="C23" s="49">
        <v>0</v>
      </c>
      <c r="D23" s="51">
        <f t="shared" si="0"/>
        <v>147550</v>
      </c>
      <c r="E23" s="51">
        <f t="shared" si="1"/>
        <v>0</v>
      </c>
      <c r="F23" s="64">
        <f t="shared" si="2"/>
        <v>0</v>
      </c>
      <c r="G23" s="64">
        <f t="shared" si="3"/>
        <v>0</v>
      </c>
      <c r="H23" s="1"/>
      <c r="Q23" s="16"/>
    </row>
    <row r="24" spans="1:17" x14ac:dyDescent="0.35">
      <c r="A24" s="66">
        <v>18</v>
      </c>
      <c r="B24" s="66">
        <v>2039</v>
      </c>
      <c r="C24" s="45">
        <v>0</v>
      </c>
      <c r="D24" s="52">
        <f t="shared" si="0"/>
        <v>147550</v>
      </c>
      <c r="E24" s="52">
        <f t="shared" si="1"/>
        <v>0</v>
      </c>
      <c r="F24" s="67">
        <f t="shared" si="2"/>
        <v>0</v>
      </c>
      <c r="G24" s="67">
        <f t="shared" si="3"/>
        <v>0</v>
      </c>
      <c r="H24" s="1"/>
      <c r="Q24" s="16"/>
    </row>
    <row r="25" spans="1:17" x14ac:dyDescent="0.35">
      <c r="A25" s="53">
        <v>19</v>
      </c>
      <c r="B25" s="53">
        <v>2040</v>
      </c>
      <c r="C25" s="49">
        <v>0</v>
      </c>
      <c r="D25" s="51">
        <f t="shared" si="0"/>
        <v>147550</v>
      </c>
      <c r="E25" s="51">
        <f t="shared" si="1"/>
        <v>0</v>
      </c>
      <c r="F25" s="64">
        <f t="shared" si="2"/>
        <v>0</v>
      </c>
      <c r="G25" s="64">
        <f t="shared" si="3"/>
        <v>0</v>
      </c>
      <c r="H25" s="1"/>
      <c r="Q25" s="16"/>
    </row>
    <row r="26" spans="1:17" x14ac:dyDescent="0.35">
      <c r="A26" s="66">
        <v>20</v>
      </c>
      <c r="B26" s="66">
        <v>2041</v>
      </c>
      <c r="C26" s="45">
        <v>0</v>
      </c>
      <c r="D26" s="52">
        <f t="shared" si="0"/>
        <v>147550</v>
      </c>
      <c r="E26" s="52">
        <f t="shared" si="1"/>
        <v>0</v>
      </c>
      <c r="F26" s="67">
        <f t="shared" si="2"/>
        <v>0</v>
      </c>
      <c r="G26" s="67">
        <f t="shared" si="3"/>
        <v>0</v>
      </c>
      <c r="H26" s="1"/>
      <c r="Q26" s="16"/>
    </row>
    <row r="27" spans="1:17" x14ac:dyDescent="0.35">
      <c r="A27" s="53"/>
      <c r="B27" s="53"/>
      <c r="C27" s="49"/>
      <c r="D27" s="51"/>
      <c r="E27" s="51"/>
      <c r="F27" s="64"/>
      <c r="G27" s="64"/>
      <c r="H27" s="1"/>
      <c r="Q27" s="16"/>
    </row>
    <row r="28" spans="1:17" x14ac:dyDescent="0.35">
      <c r="A28" s="105"/>
      <c r="B28" s="66"/>
      <c r="C28" s="120"/>
      <c r="D28" s="121"/>
      <c r="E28" s="121"/>
      <c r="F28" s="108"/>
      <c r="G28" s="108"/>
      <c r="H28" s="1"/>
      <c r="Q28" s="16"/>
    </row>
    <row r="29" spans="1:17" ht="15" thickBot="1" x14ac:dyDescent="0.4">
      <c r="A29" s="78"/>
      <c r="B29" s="77"/>
      <c r="C29" s="78"/>
      <c r="D29" s="79"/>
      <c r="E29" s="79"/>
      <c r="F29" s="80">
        <f>SUM(F4:F26)</f>
        <v>19052572.815533981</v>
      </c>
      <c r="G29" s="80">
        <f>SUM(G4:G26)</f>
        <v>18340327.102803737</v>
      </c>
    </row>
    <row r="30" spans="1:17" x14ac:dyDescent="0.35">
      <c r="A30" s="19"/>
    </row>
    <row r="31" spans="1:17" x14ac:dyDescent="0.35">
      <c r="A31" s="20" t="s">
        <v>59</v>
      </c>
      <c r="I31" s="30"/>
    </row>
    <row r="32" spans="1:17" x14ac:dyDescent="0.35">
      <c r="A32" s="20" t="s">
        <v>45</v>
      </c>
    </row>
    <row r="33" spans="1:1" x14ac:dyDescent="0.35">
      <c r="A33" s="20" t="s">
        <v>65</v>
      </c>
    </row>
    <row r="34" spans="1:1" x14ac:dyDescent="0.35">
      <c r="A34" s="20" t="s">
        <v>119</v>
      </c>
    </row>
    <row r="35" spans="1:1" x14ac:dyDescent="0.35">
      <c r="A35" s="20" t="s">
        <v>144</v>
      </c>
    </row>
    <row r="36" spans="1:1" x14ac:dyDescent="0.35">
      <c r="A36" s="20" t="s">
        <v>145</v>
      </c>
    </row>
    <row r="37" spans="1:1" x14ac:dyDescent="0.35">
      <c r="A37" s="20"/>
    </row>
    <row r="38" spans="1:1" x14ac:dyDescent="0.35">
      <c r="A38" s="20"/>
    </row>
    <row r="39" spans="1:1" x14ac:dyDescent="0.35">
      <c r="A39" s="20"/>
    </row>
    <row r="40" spans="1:1" x14ac:dyDescent="0.35">
      <c r="A40" s="3"/>
    </row>
    <row r="41" spans="1:1" x14ac:dyDescent="0.35">
      <c r="A41" s="3"/>
    </row>
    <row r="42" spans="1:1" x14ac:dyDescent="0.35">
      <c r="A42" s="3"/>
    </row>
    <row r="43" spans="1:1" x14ac:dyDescent="0.35">
      <c r="A43" s="8"/>
    </row>
    <row r="44" spans="1:1" x14ac:dyDescent="0.35">
      <c r="A44" s="8"/>
    </row>
    <row r="45" spans="1:1" x14ac:dyDescent="0.35">
      <c r="A45" s="8"/>
    </row>
    <row r="46" spans="1:1" x14ac:dyDescent="0.35">
      <c r="A46" s="8"/>
    </row>
    <row r="47" spans="1:1" x14ac:dyDescent="0.35">
      <c r="A47" s="8"/>
    </row>
    <row r="48" spans="1:1" x14ac:dyDescent="0.35">
      <c r="A48" s="8"/>
    </row>
    <row r="49" spans="1:2" x14ac:dyDescent="0.35">
      <c r="A49" s="8"/>
    </row>
    <row r="50" spans="1:2" x14ac:dyDescent="0.35">
      <c r="A50" s="8"/>
    </row>
    <row r="51" spans="1:2" x14ac:dyDescent="0.35">
      <c r="A51" s="8"/>
    </row>
    <row r="53" spans="1:2" x14ac:dyDescent="0.35">
      <c r="A53" s="9"/>
      <c r="B53" s="10"/>
    </row>
    <row r="54" spans="1:2" x14ac:dyDescent="0.35">
      <c r="A54" s="11"/>
      <c r="B54" s="10"/>
    </row>
    <row r="55" spans="1:2" x14ac:dyDescent="0.35">
      <c r="A55" s="12"/>
      <c r="B55" s="12"/>
    </row>
    <row r="56" spans="1:2" x14ac:dyDescent="0.35">
      <c r="A56" s="11"/>
      <c r="B56" s="13"/>
    </row>
    <row r="57" spans="1:2" x14ac:dyDescent="0.35">
      <c r="A57" s="11"/>
      <c r="B57" s="13"/>
    </row>
    <row r="58" spans="1:2" x14ac:dyDescent="0.35">
      <c r="A58" s="11"/>
      <c r="B58" s="13"/>
    </row>
    <row r="59" spans="1:2" x14ac:dyDescent="0.35">
      <c r="A59" s="11"/>
      <c r="B59" s="13"/>
    </row>
    <row r="60" spans="1:2" x14ac:dyDescent="0.35">
      <c r="A60" s="11"/>
      <c r="B60" s="13"/>
    </row>
    <row r="61" spans="1:2" x14ac:dyDescent="0.35">
      <c r="A61" s="11"/>
      <c r="B61" s="13"/>
    </row>
    <row r="62" spans="1:2" x14ac:dyDescent="0.35">
      <c r="A62" s="11"/>
      <c r="B62" s="13"/>
    </row>
    <row r="63" spans="1:2" x14ac:dyDescent="0.35">
      <c r="A63" s="11"/>
      <c r="B63" s="13"/>
    </row>
    <row r="64" spans="1:2" x14ac:dyDescent="0.35">
      <c r="A64" s="11"/>
      <c r="B64" s="13"/>
    </row>
    <row r="65" spans="1:2" x14ac:dyDescent="0.35">
      <c r="A65" s="11"/>
      <c r="B65" s="13"/>
    </row>
    <row r="66" spans="1:2" x14ac:dyDescent="0.35">
      <c r="A66" s="11"/>
      <c r="B66" s="13"/>
    </row>
    <row r="67" spans="1:2" x14ac:dyDescent="0.35">
      <c r="A67" s="11"/>
      <c r="B67" s="13"/>
    </row>
    <row r="68" spans="1:2" x14ac:dyDescent="0.35">
      <c r="A68" s="11"/>
      <c r="B68" s="13"/>
    </row>
    <row r="69" spans="1:2" x14ac:dyDescent="0.35">
      <c r="A69" s="11"/>
      <c r="B69" s="13"/>
    </row>
    <row r="70" spans="1:2" x14ac:dyDescent="0.35">
      <c r="A70" s="11"/>
      <c r="B70" s="13"/>
    </row>
    <row r="71" spans="1:2" x14ac:dyDescent="0.35">
      <c r="A71" s="11"/>
      <c r="B71" s="13"/>
    </row>
    <row r="72" spans="1:2" x14ac:dyDescent="0.35">
      <c r="A72" s="11"/>
      <c r="B72" s="13"/>
    </row>
    <row r="73" spans="1:2" x14ac:dyDescent="0.35">
      <c r="A73" s="11"/>
      <c r="B73" s="13"/>
    </row>
    <row r="74" spans="1:2" x14ac:dyDescent="0.35">
      <c r="A74" s="11"/>
      <c r="B74" s="13"/>
    </row>
    <row r="75" spans="1:2" x14ac:dyDescent="0.35">
      <c r="A75" s="11"/>
      <c r="B75" s="13"/>
    </row>
    <row r="76" spans="1:2" x14ac:dyDescent="0.35">
      <c r="A76" s="11"/>
      <c r="B76" s="13"/>
    </row>
    <row r="77" spans="1:2" x14ac:dyDescent="0.35">
      <c r="A77" s="11"/>
      <c r="B77" s="13"/>
    </row>
    <row r="78" spans="1:2" x14ac:dyDescent="0.35">
      <c r="A78" s="11"/>
      <c r="B78" s="10"/>
    </row>
    <row r="79" spans="1:2" x14ac:dyDescent="0.35">
      <c r="A79" s="11"/>
      <c r="B79" s="14"/>
    </row>
    <row r="80" spans="1:2" x14ac:dyDescent="0.35">
      <c r="A80" s="11"/>
      <c r="B80" s="10"/>
    </row>
  </sheetData>
  <pageMargins left="0.7" right="0.7" top="0.75" bottom="0.75" header="0.3" footer="0.3"/>
  <pageSetup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workbookViewId="0">
      <selection activeCell="G30" sqref="G30"/>
    </sheetView>
  </sheetViews>
  <sheetFormatPr defaultRowHeight="14.5" x14ac:dyDescent="0.35"/>
  <cols>
    <col min="2" max="2" width="12.81640625" customWidth="1"/>
    <col min="3" max="3" width="18.1796875" customWidth="1"/>
    <col min="4" max="5" width="13.453125" customWidth="1"/>
    <col min="6" max="7" width="15.54296875" customWidth="1"/>
    <col min="8" max="8" width="14.81640625" customWidth="1"/>
  </cols>
  <sheetData>
    <row r="1" spans="1:11" ht="15.5" x14ac:dyDescent="0.35">
      <c r="A1" s="104" t="s">
        <v>222</v>
      </c>
    </row>
    <row r="3" spans="1:11" x14ac:dyDescent="0.35">
      <c r="A3" s="147" t="s">
        <v>39</v>
      </c>
      <c r="B3" s="147"/>
      <c r="C3" s="147"/>
      <c r="D3" s="147"/>
      <c r="E3" s="147"/>
      <c r="F3" s="147"/>
      <c r="G3" s="147"/>
      <c r="H3" s="147"/>
    </row>
    <row r="4" spans="1:11" x14ac:dyDescent="0.35">
      <c r="A4" s="99" t="s">
        <v>0</v>
      </c>
      <c r="B4" s="99" t="s">
        <v>0</v>
      </c>
      <c r="C4" s="99" t="s">
        <v>31</v>
      </c>
      <c r="D4" s="100" t="s">
        <v>23</v>
      </c>
      <c r="E4" s="99" t="s">
        <v>24</v>
      </c>
      <c r="F4" s="99" t="s">
        <v>27</v>
      </c>
      <c r="G4" s="100" t="s">
        <v>17</v>
      </c>
      <c r="H4" s="100" t="s">
        <v>30</v>
      </c>
    </row>
    <row r="5" spans="1:11" x14ac:dyDescent="0.35">
      <c r="A5" s="66">
        <v>0</v>
      </c>
      <c r="B5" s="88">
        <v>2019</v>
      </c>
      <c r="C5" s="66" t="s">
        <v>28</v>
      </c>
      <c r="D5" s="66"/>
      <c r="E5" s="68"/>
      <c r="F5" s="68"/>
      <c r="G5" s="68"/>
      <c r="H5" s="68"/>
    </row>
    <row r="6" spans="1:11" x14ac:dyDescent="0.35">
      <c r="A6" s="53">
        <v>0</v>
      </c>
      <c r="B6" s="53">
        <v>2020</v>
      </c>
      <c r="C6" s="53" t="s">
        <v>28</v>
      </c>
      <c r="D6" s="53"/>
      <c r="E6" s="65"/>
      <c r="F6" s="65"/>
      <c r="G6" s="65"/>
      <c r="H6" s="65"/>
    </row>
    <row r="7" spans="1:11" x14ac:dyDescent="0.35">
      <c r="A7" s="66">
        <v>0</v>
      </c>
      <c r="B7" s="88">
        <v>2021</v>
      </c>
      <c r="C7" s="66" t="s">
        <v>28</v>
      </c>
      <c r="D7" s="66"/>
      <c r="E7" s="68"/>
      <c r="F7" s="68"/>
      <c r="G7" s="68"/>
      <c r="H7" s="68"/>
    </row>
    <row r="8" spans="1:11" x14ac:dyDescent="0.35">
      <c r="A8" s="53">
        <v>1</v>
      </c>
      <c r="B8" s="53">
        <v>2022</v>
      </c>
      <c r="C8" s="53" t="s">
        <v>28</v>
      </c>
      <c r="D8" s="53">
        <v>100191</v>
      </c>
      <c r="E8" s="65">
        <v>0</v>
      </c>
      <c r="F8" s="65">
        <f>D8*E8</f>
        <v>0</v>
      </c>
      <c r="G8" s="65">
        <f>F8/1.03^(A8)</f>
        <v>0</v>
      </c>
      <c r="H8" s="65">
        <f>F8/1.07^(A8)</f>
        <v>0</v>
      </c>
      <c r="K8" s="30"/>
    </row>
    <row r="9" spans="1:11" x14ac:dyDescent="0.35">
      <c r="A9" s="66">
        <v>2</v>
      </c>
      <c r="B9" s="88">
        <v>2023</v>
      </c>
      <c r="C9" s="66" t="s">
        <v>28</v>
      </c>
      <c r="D9" s="66">
        <f>D8</f>
        <v>100191</v>
      </c>
      <c r="E9" s="68">
        <v>0</v>
      </c>
      <c r="F9" s="68">
        <f t="shared" ref="F9:F27" si="0">D9*E9</f>
        <v>0</v>
      </c>
      <c r="G9" s="68">
        <f>F9/1.03^(A9)</f>
        <v>0</v>
      </c>
      <c r="H9" s="68">
        <f>F9/1.07^(A9)</f>
        <v>0</v>
      </c>
    </row>
    <row r="10" spans="1:11" x14ac:dyDescent="0.35">
      <c r="A10" s="53">
        <v>3</v>
      </c>
      <c r="B10" s="53">
        <v>2024</v>
      </c>
      <c r="C10" s="53" t="s">
        <v>28</v>
      </c>
      <c r="D10" s="53">
        <f t="shared" ref="D10:D27" si="1">D9</f>
        <v>100191</v>
      </c>
      <c r="E10" s="65">
        <v>0</v>
      </c>
      <c r="F10" s="65">
        <f t="shared" si="0"/>
        <v>0</v>
      </c>
      <c r="G10" s="65">
        <f t="shared" ref="G10:G27" si="2">F10/1.03^(A10)</f>
        <v>0</v>
      </c>
      <c r="H10" s="65">
        <f t="shared" ref="H10:H27" si="3">F10/1.07^(A10)</f>
        <v>0</v>
      </c>
    </row>
    <row r="11" spans="1:11" x14ac:dyDescent="0.35">
      <c r="A11" s="88">
        <v>4</v>
      </c>
      <c r="B11" s="88">
        <v>2025</v>
      </c>
      <c r="C11" s="66" t="s">
        <v>28</v>
      </c>
      <c r="D11" s="66">
        <f t="shared" si="1"/>
        <v>100191</v>
      </c>
      <c r="E11" s="68">
        <v>0</v>
      </c>
      <c r="F11" s="68">
        <f t="shared" si="0"/>
        <v>0</v>
      </c>
      <c r="G11" s="68">
        <f t="shared" si="2"/>
        <v>0</v>
      </c>
      <c r="H11" s="68">
        <f t="shared" si="3"/>
        <v>0</v>
      </c>
    </row>
    <row r="12" spans="1:11" x14ac:dyDescent="0.35">
      <c r="A12" s="53">
        <v>5</v>
      </c>
      <c r="B12" s="53">
        <v>2026</v>
      </c>
      <c r="C12" s="53" t="s">
        <v>28</v>
      </c>
      <c r="D12" s="53">
        <f t="shared" si="1"/>
        <v>100191</v>
      </c>
      <c r="E12" s="65">
        <v>0</v>
      </c>
      <c r="F12" s="65">
        <f t="shared" si="0"/>
        <v>0</v>
      </c>
      <c r="G12" s="65">
        <f t="shared" si="2"/>
        <v>0</v>
      </c>
      <c r="H12" s="65">
        <f t="shared" si="3"/>
        <v>0</v>
      </c>
    </row>
    <row r="13" spans="1:11" x14ac:dyDescent="0.35">
      <c r="A13" s="66">
        <v>6</v>
      </c>
      <c r="B13" s="88">
        <v>2027</v>
      </c>
      <c r="C13" s="66" t="s">
        <v>25</v>
      </c>
      <c r="D13" s="66">
        <f t="shared" si="1"/>
        <v>100191</v>
      </c>
      <c r="E13" s="68">
        <v>0.25</v>
      </c>
      <c r="F13" s="68">
        <f>D13*E13</f>
        <v>25047.75</v>
      </c>
      <c r="G13" s="68">
        <f t="shared" si="2"/>
        <v>20977.096290348003</v>
      </c>
      <c r="H13" s="68">
        <f t="shared" si="3"/>
        <v>16690.373436600054</v>
      </c>
    </row>
    <row r="14" spans="1:11" x14ac:dyDescent="0.35">
      <c r="A14" s="53">
        <v>7</v>
      </c>
      <c r="B14" s="53">
        <v>2028</v>
      </c>
      <c r="C14" s="53" t="s">
        <v>26</v>
      </c>
      <c r="D14" s="53">
        <f t="shared" si="1"/>
        <v>100191</v>
      </c>
      <c r="E14" s="65">
        <v>25</v>
      </c>
      <c r="F14" s="65">
        <f t="shared" si="0"/>
        <v>2504775</v>
      </c>
      <c r="G14" s="65">
        <f t="shared" si="2"/>
        <v>2036611.2903250488</v>
      </c>
      <c r="H14" s="65">
        <f t="shared" si="3"/>
        <v>1559847.9847289766</v>
      </c>
    </row>
    <row r="15" spans="1:11" x14ac:dyDescent="0.35">
      <c r="A15" s="88">
        <v>8</v>
      </c>
      <c r="B15" s="88">
        <v>2029</v>
      </c>
      <c r="C15" s="66" t="s">
        <v>28</v>
      </c>
      <c r="D15" s="66">
        <f t="shared" si="1"/>
        <v>100191</v>
      </c>
      <c r="E15" s="68">
        <v>0</v>
      </c>
      <c r="F15" s="68">
        <v>0</v>
      </c>
      <c r="G15" s="68">
        <f t="shared" si="2"/>
        <v>0</v>
      </c>
      <c r="H15" s="68">
        <f t="shared" si="3"/>
        <v>0</v>
      </c>
    </row>
    <row r="16" spans="1:11" x14ac:dyDescent="0.35">
      <c r="A16" s="53">
        <v>9</v>
      </c>
      <c r="B16" s="53">
        <v>2030</v>
      </c>
      <c r="C16" s="53" t="s">
        <v>28</v>
      </c>
      <c r="D16" s="53">
        <f t="shared" si="1"/>
        <v>100191</v>
      </c>
      <c r="E16" s="65">
        <v>0</v>
      </c>
      <c r="F16" s="65">
        <v>0</v>
      </c>
      <c r="G16" s="65">
        <f t="shared" si="2"/>
        <v>0</v>
      </c>
      <c r="H16" s="65">
        <f t="shared" si="3"/>
        <v>0</v>
      </c>
    </row>
    <row r="17" spans="1:8" x14ac:dyDescent="0.35">
      <c r="A17" s="66">
        <v>10</v>
      </c>
      <c r="B17" s="88">
        <v>2031</v>
      </c>
      <c r="C17" s="66" t="s">
        <v>28</v>
      </c>
      <c r="D17" s="66">
        <f t="shared" si="1"/>
        <v>100191</v>
      </c>
      <c r="E17" s="68">
        <v>0</v>
      </c>
      <c r="F17" s="68">
        <v>0</v>
      </c>
      <c r="G17" s="68">
        <f t="shared" si="2"/>
        <v>0</v>
      </c>
      <c r="H17" s="68">
        <f t="shared" si="3"/>
        <v>0</v>
      </c>
    </row>
    <row r="18" spans="1:8" x14ac:dyDescent="0.35">
      <c r="A18" s="53">
        <v>11</v>
      </c>
      <c r="B18" s="53">
        <v>2032</v>
      </c>
      <c r="C18" s="53" t="s">
        <v>28</v>
      </c>
      <c r="D18" s="53">
        <f t="shared" si="1"/>
        <v>100191</v>
      </c>
      <c r="E18" s="65">
        <v>0</v>
      </c>
      <c r="F18" s="65">
        <v>0</v>
      </c>
      <c r="G18" s="65">
        <f t="shared" si="2"/>
        <v>0</v>
      </c>
      <c r="H18" s="65">
        <f t="shared" si="3"/>
        <v>0</v>
      </c>
    </row>
    <row r="19" spans="1:8" x14ac:dyDescent="0.35">
      <c r="A19" s="88">
        <v>12</v>
      </c>
      <c r="B19" s="88">
        <v>2033</v>
      </c>
      <c r="C19" s="66" t="s">
        <v>29</v>
      </c>
      <c r="D19" s="66">
        <f t="shared" si="1"/>
        <v>100191</v>
      </c>
      <c r="E19" s="68">
        <v>25</v>
      </c>
      <c r="F19" s="68">
        <f t="shared" si="0"/>
        <v>2504775</v>
      </c>
      <c r="G19" s="68">
        <f t="shared" si="2"/>
        <v>1756798.7894103546</v>
      </c>
      <c r="H19" s="68">
        <f t="shared" si="3"/>
        <v>1112150.0552072127</v>
      </c>
    </row>
    <row r="20" spans="1:8" x14ac:dyDescent="0.35">
      <c r="A20" s="53">
        <v>13</v>
      </c>
      <c r="B20" s="53">
        <v>2034</v>
      </c>
      <c r="C20" s="53" t="s">
        <v>28</v>
      </c>
      <c r="D20" s="53">
        <f t="shared" si="1"/>
        <v>100191</v>
      </c>
      <c r="E20" s="65">
        <v>0</v>
      </c>
      <c r="F20" s="65">
        <f t="shared" si="0"/>
        <v>0</v>
      </c>
      <c r="G20" s="65">
        <f t="shared" si="2"/>
        <v>0</v>
      </c>
      <c r="H20" s="65">
        <f t="shared" si="3"/>
        <v>0</v>
      </c>
    </row>
    <row r="21" spans="1:8" x14ac:dyDescent="0.35">
      <c r="A21" s="66">
        <v>14</v>
      </c>
      <c r="B21" s="88">
        <v>2035</v>
      </c>
      <c r="C21" s="66" t="s">
        <v>28</v>
      </c>
      <c r="D21" s="66">
        <f t="shared" si="1"/>
        <v>100191</v>
      </c>
      <c r="E21" s="68">
        <v>0</v>
      </c>
      <c r="F21" s="68">
        <f t="shared" si="0"/>
        <v>0</v>
      </c>
      <c r="G21" s="68">
        <f t="shared" si="2"/>
        <v>0</v>
      </c>
      <c r="H21" s="68">
        <f t="shared" si="3"/>
        <v>0</v>
      </c>
    </row>
    <row r="22" spans="1:8" x14ac:dyDescent="0.35">
      <c r="A22" s="53">
        <v>15</v>
      </c>
      <c r="B22" s="53">
        <v>2036</v>
      </c>
      <c r="C22" s="53" t="s">
        <v>28</v>
      </c>
      <c r="D22" s="53">
        <f t="shared" si="1"/>
        <v>100191</v>
      </c>
      <c r="E22" s="65">
        <v>0</v>
      </c>
      <c r="F22" s="65">
        <f t="shared" si="0"/>
        <v>0</v>
      </c>
      <c r="G22" s="65">
        <f t="shared" si="2"/>
        <v>0</v>
      </c>
      <c r="H22" s="65">
        <f t="shared" si="3"/>
        <v>0</v>
      </c>
    </row>
    <row r="23" spans="1:8" x14ac:dyDescent="0.35">
      <c r="A23" s="88">
        <v>16</v>
      </c>
      <c r="B23" s="88">
        <v>2037</v>
      </c>
      <c r="C23" s="66" t="s">
        <v>28</v>
      </c>
      <c r="D23" s="66">
        <f t="shared" si="1"/>
        <v>100191</v>
      </c>
      <c r="E23" s="68">
        <v>0</v>
      </c>
      <c r="F23" s="68">
        <f t="shared" si="0"/>
        <v>0</v>
      </c>
      <c r="G23" s="68">
        <f t="shared" si="2"/>
        <v>0</v>
      </c>
      <c r="H23" s="68">
        <f t="shared" si="3"/>
        <v>0</v>
      </c>
    </row>
    <row r="24" spans="1:8" x14ac:dyDescent="0.35">
      <c r="A24" s="53">
        <v>17</v>
      </c>
      <c r="B24" s="53">
        <v>2038</v>
      </c>
      <c r="C24" s="53" t="s">
        <v>25</v>
      </c>
      <c r="D24" s="53">
        <f t="shared" si="1"/>
        <v>100191</v>
      </c>
      <c r="E24" s="65">
        <v>0.25</v>
      </c>
      <c r="F24" s="65">
        <f t="shared" si="0"/>
        <v>25047.75</v>
      </c>
      <c r="G24" s="65">
        <f t="shared" si="2"/>
        <v>15154.300681408369</v>
      </c>
      <c r="H24" s="65">
        <f t="shared" si="3"/>
        <v>7929.4761887474151</v>
      </c>
    </row>
    <row r="25" spans="1:8" x14ac:dyDescent="0.35">
      <c r="A25" s="66">
        <v>18</v>
      </c>
      <c r="B25" s="88">
        <v>2039</v>
      </c>
      <c r="C25" s="66" t="s">
        <v>26</v>
      </c>
      <c r="D25" s="66">
        <f t="shared" si="1"/>
        <v>100191</v>
      </c>
      <c r="E25" s="101">
        <v>25</v>
      </c>
      <c r="F25" s="68">
        <f t="shared" si="0"/>
        <v>2504775</v>
      </c>
      <c r="G25" s="68">
        <f t="shared" si="2"/>
        <v>1471291.3282920746</v>
      </c>
      <c r="H25" s="68">
        <f t="shared" si="3"/>
        <v>741072.54100443132</v>
      </c>
    </row>
    <row r="26" spans="1:8" x14ac:dyDescent="0.35">
      <c r="A26" s="53">
        <v>19</v>
      </c>
      <c r="B26" s="53">
        <v>2040</v>
      </c>
      <c r="C26" s="53" t="s">
        <v>28</v>
      </c>
      <c r="D26" s="53">
        <f t="shared" si="1"/>
        <v>100191</v>
      </c>
      <c r="E26" s="65">
        <v>0</v>
      </c>
      <c r="F26" s="65">
        <f t="shared" si="0"/>
        <v>0</v>
      </c>
      <c r="G26" s="65">
        <f t="shared" si="2"/>
        <v>0</v>
      </c>
      <c r="H26" s="65">
        <f t="shared" si="3"/>
        <v>0</v>
      </c>
    </row>
    <row r="27" spans="1:8" x14ac:dyDescent="0.35">
      <c r="A27" s="88">
        <v>20</v>
      </c>
      <c r="B27" s="88">
        <v>2041</v>
      </c>
      <c r="C27" s="66" t="s">
        <v>28</v>
      </c>
      <c r="D27" s="66">
        <f t="shared" si="1"/>
        <v>100191</v>
      </c>
      <c r="E27" s="68">
        <v>0</v>
      </c>
      <c r="F27" s="68">
        <f t="shared" si="0"/>
        <v>0</v>
      </c>
      <c r="G27" s="68">
        <f t="shared" si="2"/>
        <v>0</v>
      </c>
      <c r="H27" s="68">
        <f t="shared" si="3"/>
        <v>0</v>
      </c>
    </row>
    <row r="28" spans="1:8" x14ac:dyDescent="0.35">
      <c r="A28" s="106"/>
      <c r="B28" s="106"/>
      <c r="C28" s="106"/>
      <c r="D28" s="106"/>
      <c r="E28" s="122"/>
      <c r="F28" s="122"/>
      <c r="G28" s="122"/>
      <c r="H28" s="122"/>
    </row>
    <row r="29" spans="1:8" ht="15" thickBot="1" x14ac:dyDescent="0.4">
      <c r="A29" s="110"/>
      <c r="B29" s="110"/>
      <c r="C29" s="110"/>
      <c r="D29" s="110"/>
      <c r="E29" s="110"/>
      <c r="F29" s="119">
        <f>SUM(F7:F28)</f>
        <v>7564420.5</v>
      </c>
      <c r="G29" s="119">
        <f>SUM(G7:G28)</f>
        <v>5300832.8049992342</v>
      </c>
      <c r="H29" s="119">
        <f>SUM(H7:H28)</f>
        <v>3437690.4305659682</v>
      </c>
    </row>
    <row r="31" spans="1:8" x14ac:dyDescent="0.35">
      <c r="H31" s="15"/>
    </row>
    <row r="33" spans="6:7" x14ac:dyDescent="0.35">
      <c r="F33" s="15"/>
      <c r="G33" s="15"/>
    </row>
  </sheetData>
  <mergeCells count="1">
    <mergeCell ref="A3:H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4"/>
  <sheetViews>
    <sheetView zoomScale="90" zoomScaleNormal="90" workbookViewId="0">
      <selection activeCell="P24" sqref="P24"/>
    </sheetView>
  </sheetViews>
  <sheetFormatPr defaultRowHeight="14.5" x14ac:dyDescent="0.35"/>
  <cols>
    <col min="2" max="2" width="15.54296875" customWidth="1"/>
    <col min="3" max="3" width="12.453125" customWidth="1"/>
    <col min="4" max="4" width="14.81640625" customWidth="1"/>
    <col min="5" max="6" width="15.54296875" customWidth="1"/>
    <col min="7" max="7" width="13" customWidth="1"/>
    <col min="8" max="8" width="11.54296875" bestFit="1" customWidth="1"/>
    <col min="9" max="9" width="16.453125" customWidth="1"/>
    <col min="10" max="10" width="15.81640625" customWidth="1"/>
    <col min="11" max="12" width="11.453125" customWidth="1"/>
    <col min="13" max="13" width="17.26953125" customWidth="1"/>
  </cols>
  <sheetData>
    <row r="1" spans="1:15" ht="15.5" x14ac:dyDescent="0.35">
      <c r="A1" s="104" t="s">
        <v>88</v>
      </c>
      <c r="I1" s="28"/>
      <c r="J1" s="28"/>
      <c r="K1" s="28"/>
      <c r="L1" s="28"/>
      <c r="M1" s="28"/>
    </row>
    <row r="2" spans="1:15" x14ac:dyDescent="0.35">
      <c r="I2" s="28"/>
      <c r="J2" s="28"/>
      <c r="K2" s="28"/>
      <c r="L2" s="28"/>
      <c r="M2" s="28"/>
    </row>
    <row r="3" spans="1:15" s="17" customFormat="1" ht="58" x14ac:dyDescent="0.35">
      <c r="A3" s="92" t="s">
        <v>44</v>
      </c>
      <c r="B3" s="102" t="s">
        <v>0</v>
      </c>
      <c r="C3" s="102" t="s">
        <v>67</v>
      </c>
      <c r="D3" s="102" t="s">
        <v>36</v>
      </c>
      <c r="E3" s="102" t="s">
        <v>37</v>
      </c>
      <c r="F3" s="102" t="s">
        <v>17</v>
      </c>
      <c r="G3" s="102" t="s">
        <v>30</v>
      </c>
      <c r="H3" s="92" t="s">
        <v>7</v>
      </c>
      <c r="I3" s="92" t="s">
        <v>41</v>
      </c>
      <c r="J3" s="92" t="s">
        <v>42</v>
      </c>
      <c r="K3" s="92" t="s">
        <v>40</v>
      </c>
      <c r="L3" s="92" t="s">
        <v>150</v>
      </c>
      <c r="M3" s="92" t="s">
        <v>138</v>
      </c>
    </row>
    <row r="4" spans="1:15" x14ac:dyDescent="0.35">
      <c r="A4" s="97">
        <v>1</v>
      </c>
      <c r="B4" s="53">
        <v>2022</v>
      </c>
      <c r="C4" s="81">
        <f>16+0</f>
        <v>16</v>
      </c>
      <c r="D4" s="82">
        <v>115</v>
      </c>
      <c r="E4" s="64">
        <f>$C$4*$D$4</f>
        <v>1840</v>
      </c>
      <c r="F4" s="83"/>
      <c r="G4" s="83"/>
      <c r="H4" s="103">
        <f>930*$C$4/2205</f>
        <v>6.7482993197278915</v>
      </c>
      <c r="I4" s="51">
        <v>42</v>
      </c>
      <c r="J4" s="51">
        <f>I4*(242.839/207.342)</f>
        <v>49.190410047168442</v>
      </c>
      <c r="K4" s="51">
        <f t="shared" ref="K4:K23" si="0">J4/(1.03^A4)</f>
        <v>47.757679657445088</v>
      </c>
      <c r="L4" s="51">
        <f>H4*K4</f>
        <v>322.28311714411927</v>
      </c>
      <c r="M4" s="51">
        <f>L4/(1.07/1.03)^A4</f>
        <v>310.23515014807742</v>
      </c>
      <c r="O4" s="40"/>
    </row>
    <row r="5" spans="1:15" x14ac:dyDescent="0.35">
      <c r="A5" s="66">
        <v>2</v>
      </c>
      <c r="B5" s="66">
        <v>2023</v>
      </c>
      <c r="C5" s="84"/>
      <c r="D5" s="85"/>
      <c r="E5" s="67">
        <f>$C$4*$D$4</f>
        <v>1840</v>
      </c>
      <c r="F5" s="83"/>
      <c r="G5" s="83"/>
      <c r="H5" s="46">
        <f>930*$C$4/2205</f>
        <v>6.7482993197278915</v>
      </c>
      <c r="I5" s="52">
        <v>46</v>
      </c>
      <c r="J5" s="52">
        <f t="shared" ref="J5:J23" si="1">I5*(242.839/207.342)</f>
        <v>53.875211004041631</v>
      </c>
      <c r="K5" s="52">
        <f t="shared" si="0"/>
        <v>50.78255349612747</v>
      </c>
      <c r="L5" s="52">
        <f>H5*K5</f>
        <v>342.69587121196224</v>
      </c>
      <c r="M5" s="52">
        <f t="shared" ref="M5:M23" si="2">L5/(1.07/1.03)^A5</f>
        <v>317.55266815335028</v>
      </c>
      <c r="O5" s="40"/>
    </row>
    <row r="6" spans="1:15" x14ac:dyDescent="0.35">
      <c r="A6" s="97">
        <v>3</v>
      </c>
      <c r="B6" s="53">
        <v>2024</v>
      </c>
      <c r="C6" s="84"/>
      <c r="D6" s="85"/>
      <c r="E6" s="64">
        <f t="shared" ref="E6:E23" si="3">$C$4*$D$4</f>
        <v>1840</v>
      </c>
      <c r="F6" s="83"/>
      <c r="G6" s="83"/>
      <c r="H6" s="103">
        <f>930*$C$4/2205</f>
        <v>6.7482993197278915</v>
      </c>
      <c r="I6" s="51">
        <v>46</v>
      </c>
      <c r="J6" s="51">
        <f t="shared" si="1"/>
        <v>53.875211004041631</v>
      </c>
      <c r="K6" s="51">
        <f t="shared" si="0"/>
        <v>49.303449996240261</v>
      </c>
      <c r="L6" s="51">
        <f t="shared" ref="L6:L23" si="4">H6*K6</f>
        <v>332.71443806986628</v>
      </c>
      <c r="M6" s="51">
        <f t="shared" si="2"/>
        <v>296.77819453584141</v>
      </c>
      <c r="O6" s="40"/>
    </row>
    <row r="7" spans="1:15" x14ac:dyDescent="0.35">
      <c r="A7" s="66">
        <v>4</v>
      </c>
      <c r="B7" s="66">
        <v>2025</v>
      </c>
      <c r="C7" s="84"/>
      <c r="D7" s="85"/>
      <c r="E7" s="67">
        <f t="shared" si="3"/>
        <v>1840</v>
      </c>
      <c r="F7" s="83"/>
      <c r="G7" s="83"/>
      <c r="H7" s="46">
        <f t="shared" ref="H7:H23" si="5">930*$C$4/2205</f>
        <v>6.7482993197278915</v>
      </c>
      <c r="I7" s="52">
        <v>46</v>
      </c>
      <c r="J7" s="52">
        <f t="shared" si="1"/>
        <v>53.875211004041631</v>
      </c>
      <c r="K7" s="52">
        <f t="shared" si="0"/>
        <v>47.867427180815788</v>
      </c>
      <c r="L7" s="52">
        <f t="shared" si="4"/>
        <v>323.02372628142359</v>
      </c>
      <c r="M7" s="52">
        <f t="shared" si="2"/>
        <v>277.36279863162753</v>
      </c>
      <c r="O7" s="40"/>
    </row>
    <row r="8" spans="1:15" x14ac:dyDescent="0.35">
      <c r="A8" s="97">
        <v>5</v>
      </c>
      <c r="B8" s="53">
        <v>2026</v>
      </c>
      <c r="C8" s="84"/>
      <c r="D8" s="85"/>
      <c r="E8" s="64">
        <f t="shared" si="3"/>
        <v>1840</v>
      </c>
      <c r="F8" s="83"/>
      <c r="G8" s="83"/>
      <c r="H8" s="103">
        <f t="shared" si="5"/>
        <v>6.7482993197278915</v>
      </c>
      <c r="I8" s="51">
        <v>46</v>
      </c>
      <c r="J8" s="51">
        <f t="shared" si="1"/>
        <v>53.875211004041631</v>
      </c>
      <c r="K8" s="51">
        <f t="shared" si="0"/>
        <v>46.473230272636691</v>
      </c>
      <c r="L8" s="51">
        <f t="shared" si="4"/>
        <v>313.61526823439186</v>
      </c>
      <c r="M8" s="51">
        <f t="shared" si="2"/>
        <v>259.21756881460516</v>
      </c>
      <c r="O8" s="40"/>
    </row>
    <row r="9" spans="1:15" x14ac:dyDescent="0.35">
      <c r="A9" s="66">
        <v>6</v>
      </c>
      <c r="B9" s="66">
        <v>2027</v>
      </c>
      <c r="C9" s="84"/>
      <c r="D9" s="85"/>
      <c r="E9" s="67">
        <f t="shared" si="3"/>
        <v>1840</v>
      </c>
      <c r="F9" s="83"/>
      <c r="G9" s="83"/>
      <c r="H9" s="46">
        <f t="shared" si="5"/>
        <v>6.7482993197278915</v>
      </c>
      <c r="I9" s="52">
        <v>46</v>
      </c>
      <c r="J9" s="52">
        <f t="shared" si="1"/>
        <v>53.875211004041631</v>
      </c>
      <c r="K9" s="52">
        <f t="shared" si="0"/>
        <v>45.119641041394843</v>
      </c>
      <c r="L9" s="52">
        <f t="shared" si="4"/>
        <v>304.48084294601148</v>
      </c>
      <c r="M9" s="52">
        <f t="shared" si="2"/>
        <v>242.25941010710761</v>
      </c>
      <c r="O9" s="40"/>
    </row>
    <row r="10" spans="1:15" x14ac:dyDescent="0.35">
      <c r="A10" s="97">
        <v>7</v>
      </c>
      <c r="B10" s="53">
        <v>2028</v>
      </c>
      <c r="C10" s="84"/>
      <c r="D10" s="85"/>
      <c r="E10" s="64">
        <f t="shared" si="3"/>
        <v>1840</v>
      </c>
      <c r="F10" s="83"/>
      <c r="G10" s="83"/>
      <c r="H10" s="103">
        <f t="shared" si="5"/>
        <v>6.7482993197278915</v>
      </c>
      <c r="I10" s="51">
        <v>50</v>
      </c>
      <c r="J10" s="51">
        <f t="shared" si="1"/>
        <v>58.560011960914814</v>
      </c>
      <c r="K10" s="51">
        <f t="shared" si="0"/>
        <v>47.614648629585098</v>
      </c>
      <c r="L10" s="51">
        <f t="shared" si="4"/>
        <v>321.31790095611171</v>
      </c>
      <c r="M10" s="51">
        <f t="shared" si="2"/>
        <v>246.09854744728526</v>
      </c>
      <c r="O10" s="40"/>
    </row>
    <row r="11" spans="1:15" x14ac:dyDescent="0.35">
      <c r="A11" s="66">
        <v>8</v>
      </c>
      <c r="B11" s="66">
        <v>2029</v>
      </c>
      <c r="C11" s="84"/>
      <c r="D11" s="85"/>
      <c r="E11" s="67">
        <f t="shared" si="3"/>
        <v>1840</v>
      </c>
      <c r="F11" s="83"/>
      <c r="G11" s="83"/>
      <c r="H11" s="46">
        <f t="shared" si="5"/>
        <v>6.7482993197278915</v>
      </c>
      <c r="I11" s="52">
        <v>50</v>
      </c>
      <c r="J11" s="52">
        <f t="shared" si="1"/>
        <v>58.560011960914814</v>
      </c>
      <c r="K11" s="52">
        <f t="shared" si="0"/>
        <v>46.227814203480683</v>
      </c>
      <c r="L11" s="52">
        <f t="shared" si="4"/>
        <v>311.95912714185607</v>
      </c>
      <c r="M11" s="52">
        <f t="shared" si="2"/>
        <v>229.99864247409843</v>
      </c>
      <c r="O11" s="40"/>
    </row>
    <row r="12" spans="1:15" x14ac:dyDescent="0.35">
      <c r="A12" s="97">
        <v>9</v>
      </c>
      <c r="B12" s="53">
        <v>2030</v>
      </c>
      <c r="C12" s="84"/>
      <c r="D12" s="85"/>
      <c r="E12" s="64">
        <f t="shared" si="3"/>
        <v>1840</v>
      </c>
      <c r="F12" s="83"/>
      <c r="G12" s="83"/>
      <c r="H12" s="103">
        <f t="shared" si="5"/>
        <v>6.7482993197278915</v>
      </c>
      <c r="I12" s="51">
        <v>50</v>
      </c>
      <c r="J12" s="51">
        <f t="shared" si="1"/>
        <v>58.560011960914814</v>
      </c>
      <c r="K12" s="51">
        <f t="shared" si="0"/>
        <v>44.881373013088044</v>
      </c>
      <c r="L12" s="51">
        <f t="shared" si="4"/>
        <v>302.8729389726758</v>
      </c>
      <c r="M12" s="51">
        <f t="shared" si="2"/>
        <v>214.95200231224152</v>
      </c>
      <c r="O12" s="40"/>
    </row>
    <row r="13" spans="1:15" x14ac:dyDescent="0.35">
      <c r="A13" s="66">
        <v>10</v>
      </c>
      <c r="B13" s="66">
        <v>2031</v>
      </c>
      <c r="C13" s="84"/>
      <c r="D13" s="85"/>
      <c r="E13" s="67">
        <f t="shared" si="3"/>
        <v>1840</v>
      </c>
      <c r="F13" s="83"/>
      <c r="G13" s="83"/>
      <c r="H13" s="46">
        <f t="shared" si="5"/>
        <v>6.7482993197278915</v>
      </c>
      <c r="I13" s="52">
        <v>50</v>
      </c>
      <c r="J13" s="52">
        <f t="shared" si="1"/>
        <v>58.560011960914814</v>
      </c>
      <c r="K13" s="52">
        <f t="shared" si="0"/>
        <v>43.574148556396153</v>
      </c>
      <c r="L13" s="52">
        <f t="shared" si="4"/>
        <v>294.05139706085026</v>
      </c>
      <c r="M13" s="52">
        <f t="shared" si="2"/>
        <v>200.88972178714158</v>
      </c>
      <c r="O13" s="40"/>
    </row>
    <row r="14" spans="1:15" x14ac:dyDescent="0.35">
      <c r="A14" s="97">
        <v>11</v>
      </c>
      <c r="B14" s="53">
        <v>2032</v>
      </c>
      <c r="C14" s="84"/>
      <c r="D14" s="85"/>
      <c r="E14" s="64">
        <f t="shared" si="3"/>
        <v>1840</v>
      </c>
      <c r="F14" s="83"/>
      <c r="G14" s="83"/>
      <c r="H14" s="103">
        <f t="shared" si="5"/>
        <v>6.7482993197278915</v>
      </c>
      <c r="I14" s="51">
        <v>50</v>
      </c>
      <c r="J14" s="51">
        <f t="shared" si="1"/>
        <v>58.560011960914814</v>
      </c>
      <c r="K14" s="51">
        <f t="shared" si="0"/>
        <v>42.304998598442872</v>
      </c>
      <c r="L14" s="51">
        <f t="shared" si="4"/>
        <v>285.48679326296144</v>
      </c>
      <c r="M14" s="51">
        <f t="shared" si="2"/>
        <v>187.74740353938469</v>
      </c>
      <c r="O14" s="40"/>
    </row>
    <row r="15" spans="1:15" x14ac:dyDescent="0.35">
      <c r="A15" s="66">
        <v>12</v>
      </c>
      <c r="B15" s="66">
        <v>2033</v>
      </c>
      <c r="C15" s="84"/>
      <c r="D15" s="85"/>
      <c r="E15" s="67">
        <f t="shared" si="3"/>
        <v>1840</v>
      </c>
      <c r="F15" s="83"/>
      <c r="G15" s="83"/>
      <c r="H15" s="46">
        <f t="shared" si="5"/>
        <v>6.7482993197278915</v>
      </c>
      <c r="I15" s="52">
        <v>55</v>
      </c>
      <c r="J15" s="52">
        <f t="shared" si="1"/>
        <v>64.41601315700629</v>
      </c>
      <c r="K15" s="52">
        <f t="shared" si="0"/>
        <v>45.180095590570055</v>
      </c>
      <c r="L15" s="52">
        <f t="shared" si="4"/>
        <v>304.88880833908502</v>
      </c>
      <c r="M15" s="52">
        <f t="shared" si="2"/>
        <v>193.01134943301227</v>
      </c>
      <c r="O15" s="40"/>
    </row>
    <row r="16" spans="1:15" x14ac:dyDescent="0.35">
      <c r="A16" s="97">
        <v>13</v>
      </c>
      <c r="B16" s="53">
        <v>2034</v>
      </c>
      <c r="C16" s="84"/>
      <c r="D16" s="85"/>
      <c r="E16" s="64">
        <f t="shared" si="3"/>
        <v>1840</v>
      </c>
      <c r="F16" s="83"/>
      <c r="G16" s="83"/>
      <c r="H16" s="103">
        <f t="shared" si="5"/>
        <v>6.7482993197278915</v>
      </c>
      <c r="I16" s="51">
        <v>55</v>
      </c>
      <c r="J16" s="51">
        <f t="shared" si="1"/>
        <v>64.41601315700629</v>
      </c>
      <c r="K16" s="51">
        <f t="shared" si="0"/>
        <v>43.864170476281615</v>
      </c>
      <c r="L16" s="51">
        <f t="shared" si="4"/>
        <v>296.0085517855195</v>
      </c>
      <c r="M16" s="51">
        <f t="shared" si="2"/>
        <v>180.38443872244142</v>
      </c>
      <c r="O16" s="40"/>
    </row>
    <row r="17" spans="1:15" x14ac:dyDescent="0.35">
      <c r="A17" s="66">
        <v>14</v>
      </c>
      <c r="B17" s="66">
        <v>2035</v>
      </c>
      <c r="C17" s="84"/>
      <c r="D17" s="85"/>
      <c r="E17" s="67">
        <f t="shared" si="3"/>
        <v>1840</v>
      </c>
      <c r="F17" s="83"/>
      <c r="G17" s="83"/>
      <c r="H17" s="46">
        <f t="shared" si="5"/>
        <v>6.7482993197278915</v>
      </c>
      <c r="I17" s="52">
        <v>55</v>
      </c>
      <c r="J17" s="52">
        <f t="shared" si="1"/>
        <v>64.41601315700629</v>
      </c>
      <c r="K17" s="52">
        <f t="shared" si="0"/>
        <v>42.586573277943309</v>
      </c>
      <c r="L17" s="52">
        <f t="shared" si="4"/>
        <v>287.38694348108686</v>
      </c>
      <c r="M17" s="52">
        <f t="shared" si="2"/>
        <v>168.58358759106673</v>
      </c>
      <c r="O17" s="40"/>
    </row>
    <row r="18" spans="1:15" x14ac:dyDescent="0.35">
      <c r="A18" s="97">
        <v>15</v>
      </c>
      <c r="B18" s="53">
        <v>2036</v>
      </c>
      <c r="C18" s="84"/>
      <c r="D18" s="85"/>
      <c r="E18" s="64">
        <f t="shared" si="3"/>
        <v>1840</v>
      </c>
      <c r="F18" s="83"/>
      <c r="G18" s="83"/>
      <c r="H18" s="103">
        <f t="shared" si="5"/>
        <v>6.7482993197278915</v>
      </c>
      <c r="I18" s="51">
        <v>55</v>
      </c>
      <c r="J18" s="51">
        <f t="shared" si="1"/>
        <v>64.41601315700629</v>
      </c>
      <c r="K18" s="51">
        <f t="shared" si="0"/>
        <v>41.346187648488645</v>
      </c>
      <c r="L18" s="51">
        <f t="shared" si="4"/>
        <v>279.01644998163766</v>
      </c>
      <c r="M18" s="51">
        <f t="shared" si="2"/>
        <v>157.55475475800625</v>
      </c>
      <c r="O18" s="40"/>
    </row>
    <row r="19" spans="1:15" x14ac:dyDescent="0.35">
      <c r="A19" s="66">
        <v>16</v>
      </c>
      <c r="B19" s="66">
        <v>2037</v>
      </c>
      <c r="C19" s="84"/>
      <c r="D19" s="85"/>
      <c r="E19" s="67">
        <f t="shared" si="3"/>
        <v>1840</v>
      </c>
      <c r="F19" s="83"/>
      <c r="G19" s="83"/>
      <c r="H19" s="46">
        <f t="shared" si="5"/>
        <v>6.7482993197278915</v>
      </c>
      <c r="I19" s="52">
        <v>55</v>
      </c>
      <c r="J19" s="52">
        <f t="shared" si="1"/>
        <v>64.41601315700629</v>
      </c>
      <c r="K19" s="52">
        <f t="shared" si="0"/>
        <v>40.141929755814225</v>
      </c>
      <c r="L19" s="52">
        <f t="shared" si="4"/>
        <v>270.88975726372593</v>
      </c>
      <c r="M19" s="52">
        <f t="shared" si="2"/>
        <v>147.2474343532769</v>
      </c>
      <c r="O19" s="40"/>
    </row>
    <row r="20" spans="1:15" x14ac:dyDescent="0.35">
      <c r="A20" s="97">
        <v>17</v>
      </c>
      <c r="B20" s="53">
        <v>2038</v>
      </c>
      <c r="C20" s="84"/>
      <c r="D20" s="85"/>
      <c r="E20" s="64">
        <f t="shared" si="3"/>
        <v>1840</v>
      </c>
      <c r="F20" s="83"/>
      <c r="G20" s="83"/>
      <c r="H20" s="103">
        <f t="shared" si="5"/>
        <v>6.7482993197278915</v>
      </c>
      <c r="I20" s="51">
        <v>60</v>
      </c>
      <c r="J20" s="51">
        <f t="shared" si="1"/>
        <v>70.272014353097774</v>
      </c>
      <c r="K20" s="51">
        <f t="shared" si="0"/>
        <v>42.515724366263967</v>
      </c>
      <c r="L20" s="51">
        <f t="shared" si="4"/>
        <v>286.90883381859766</v>
      </c>
      <c r="M20" s="51">
        <f t="shared" si="2"/>
        <v>150.12482686825174</v>
      </c>
      <c r="O20" s="40"/>
    </row>
    <row r="21" spans="1:15" x14ac:dyDescent="0.35">
      <c r="A21" s="66">
        <v>18</v>
      </c>
      <c r="B21" s="66">
        <v>2039</v>
      </c>
      <c r="C21" s="84"/>
      <c r="D21" s="85"/>
      <c r="E21" s="67">
        <f t="shared" si="3"/>
        <v>1840</v>
      </c>
      <c r="F21" s="83"/>
      <c r="G21" s="83"/>
      <c r="H21" s="46">
        <f t="shared" si="5"/>
        <v>6.7482993197278915</v>
      </c>
      <c r="I21" s="52">
        <v>60</v>
      </c>
      <c r="J21" s="52">
        <f t="shared" si="1"/>
        <v>70.272014353097774</v>
      </c>
      <c r="K21" s="52">
        <f t="shared" si="0"/>
        <v>41.277402297343656</v>
      </c>
      <c r="L21" s="52">
        <f t="shared" si="4"/>
        <v>278.5522658432987</v>
      </c>
      <c r="M21" s="52">
        <f t="shared" si="2"/>
        <v>140.30357651238484</v>
      </c>
      <c r="O21" s="40"/>
    </row>
    <row r="22" spans="1:15" x14ac:dyDescent="0.35">
      <c r="A22" s="97">
        <v>19</v>
      </c>
      <c r="B22" s="53">
        <v>2040</v>
      </c>
      <c r="C22" s="84"/>
      <c r="D22" s="85"/>
      <c r="E22" s="64">
        <f t="shared" si="3"/>
        <v>1840</v>
      </c>
      <c r="F22" s="83"/>
      <c r="G22" s="83"/>
      <c r="H22" s="103">
        <f t="shared" si="5"/>
        <v>6.7482993197278915</v>
      </c>
      <c r="I22" s="51">
        <v>60</v>
      </c>
      <c r="J22" s="51">
        <f t="shared" si="1"/>
        <v>70.272014353097774</v>
      </c>
      <c r="K22" s="51">
        <f t="shared" si="0"/>
        <v>40.075147861498692</v>
      </c>
      <c r="L22" s="51">
        <f t="shared" si="4"/>
        <v>270.43909305174628</v>
      </c>
      <c r="M22" s="51">
        <f t="shared" si="2"/>
        <v>131.12483786204189</v>
      </c>
      <c r="O22" s="40"/>
    </row>
    <row r="23" spans="1:15" x14ac:dyDescent="0.35">
      <c r="A23" s="105">
        <v>20</v>
      </c>
      <c r="B23" s="66">
        <v>2041</v>
      </c>
      <c r="C23" s="84"/>
      <c r="D23" s="85"/>
      <c r="E23" s="108">
        <f t="shared" si="3"/>
        <v>1840</v>
      </c>
      <c r="F23" s="83"/>
      <c r="G23" s="83"/>
      <c r="H23" s="123">
        <f t="shared" si="5"/>
        <v>6.7482993197278915</v>
      </c>
      <c r="I23" s="121">
        <v>60</v>
      </c>
      <c r="J23" s="121">
        <f t="shared" si="1"/>
        <v>70.272014353097774</v>
      </c>
      <c r="K23" s="121">
        <f t="shared" si="0"/>
        <v>38.907910545144368</v>
      </c>
      <c r="L23" s="121">
        <f t="shared" si="4"/>
        <v>262.56222626383141</v>
      </c>
      <c r="M23" s="121">
        <f t="shared" si="2"/>
        <v>122.54657744116066</v>
      </c>
      <c r="O23" s="40"/>
    </row>
    <row r="24" spans="1:15" ht="15" thickBot="1" x14ac:dyDescent="0.4">
      <c r="A24" s="33"/>
      <c r="B24" s="33" t="s">
        <v>32</v>
      </c>
      <c r="C24" s="21"/>
      <c r="D24" s="21"/>
      <c r="E24" s="124">
        <f>SUM(E4:E23)</f>
        <v>36800</v>
      </c>
      <c r="F24" s="125">
        <f>E24/1.03^20</f>
        <v>20375.267754057128</v>
      </c>
      <c r="G24" s="125">
        <f>E24/1.07^20</f>
        <v>9509.8193035503682</v>
      </c>
      <c r="H24" s="21"/>
      <c r="I24" s="36"/>
      <c r="J24" s="36"/>
      <c r="K24" s="36"/>
      <c r="L24" s="37">
        <f>SUM(L4:L23)</f>
        <v>5991.1543511107593</v>
      </c>
      <c r="M24" s="37">
        <f>SUM(M4:M23)</f>
        <v>4173.9734914924029</v>
      </c>
    </row>
    <row r="26" spans="1:15" x14ac:dyDescent="0.35">
      <c r="A26" t="s">
        <v>69</v>
      </c>
    </row>
    <row r="27" spans="1:15" x14ac:dyDescent="0.35">
      <c r="A27" t="s">
        <v>70</v>
      </c>
    </row>
    <row r="28" spans="1:15" x14ac:dyDescent="0.35">
      <c r="A28" t="s">
        <v>71</v>
      </c>
    </row>
    <row r="29" spans="1:15" x14ac:dyDescent="0.35">
      <c r="A29" s="28" t="s">
        <v>72</v>
      </c>
    </row>
    <row r="30" spans="1:15" x14ac:dyDescent="0.35">
      <c r="A30" t="s">
        <v>73</v>
      </c>
    </row>
    <row r="31" spans="1:15" x14ac:dyDescent="0.35">
      <c r="A31" t="s">
        <v>74</v>
      </c>
    </row>
    <row r="32" spans="1:15" x14ac:dyDescent="0.35">
      <c r="A32" t="s">
        <v>75</v>
      </c>
    </row>
    <row r="33" spans="1:1" x14ac:dyDescent="0.35">
      <c r="A33" t="s">
        <v>149</v>
      </c>
    </row>
    <row r="34" spans="1:1" x14ac:dyDescent="0.35">
      <c r="A34" s="20" t="s">
        <v>76</v>
      </c>
    </row>
    <row r="35" spans="1:1" x14ac:dyDescent="0.35">
      <c r="A35" s="20" t="s">
        <v>148</v>
      </c>
    </row>
    <row r="36" spans="1:1" x14ac:dyDescent="0.35">
      <c r="A36" s="20" t="s">
        <v>81</v>
      </c>
    </row>
    <row r="37" spans="1:1" x14ac:dyDescent="0.35">
      <c r="A37" s="18" t="s">
        <v>77</v>
      </c>
    </row>
    <row r="39" spans="1:1" x14ac:dyDescent="0.35">
      <c r="A39" s="32" t="s">
        <v>109</v>
      </c>
    </row>
    <row r="40" spans="1:1" x14ac:dyDescent="0.35">
      <c r="A40" t="s">
        <v>110</v>
      </c>
    </row>
    <row r="42" spans="1:1" x14ac:dyDescent="0.35">
      <c r="A42" s="32" t="s">
        <v>111</v>
      </c>
    </row>
    <row r="43" spans="1:1" x14ac:dyDescent="0.35">
      <c r="A43" t="s">
        <v>112</v>
      </c>
    </row>
    <row r="44" spans="1:1" x14ac:dyDescent="0.35">
      <c r="A44" t="s">
        <v>113</v>
      </c>
    </row>
  </sheetData>
  <hyperlinks>
    <hyperlink ref="A39" r:id="rId1" xr:uid="{00000000-0004-0000-0600-000000000000}"/>
    <hyperlink ref="A42" r:id="rId2" xr:uid="{00000000-0004-0000-0600-000001000000}"/>
  </hyperlinks>
  <pageMargins left="0.7" right="0.7" top="0.75" bottom="0.75" header="0.3" footer="0.3"/>
  <pageSetup scale="68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74"/>
  <sheetViews>
    <sheetView zoomScale="90" zoomScaleNormal="90" workbookViewId="0">
      <pane ySplit="3" topLeftCell="A4" activePane="bottomLeft" state="frozen"/>
      <selection pane="bottomLeft" activeCell="D55" sqref="D55"/>
    </sheetView>
  </sheetViews>
  <sheetFormatPr defaultRowHeight="14.5" x14ac:dyDescent="0.35"/>
  <cols>
    <col min="2" max="2" width="12.54296875" style="1" customWidth="1"/>
    <col min="3" max="3" width="14" customWidth="1"/>
    <col min="4" max="9" width="12.54296875" customWidth="1"/>
    <col min="10" max="10" width="15.453125" customWidth="1"/>
    <col min="11" max="11" width="14.54296875" customWidth="1"/>
    <col min="12" max="17" width="12.54296875" customWidth="1"/>
    <col min="18" max="19" width="12.54296875" style="1" customWidth="1"/>
    <col min="20" max="21" width="12.54296875" customWidth="1"/>
  </cols>
  <sheetData>
    <row r="1" spans="1:23" ht="15.5" x14ac:dyDescent="0.35">
      <c r="A1" s="104" t="s">
        <v>223</v>
      </c>
      <c r="I1" s="28"/>
      <c r="J1" s="28"/>
      <c r="K1" s="28"/>
      <c r="L1" s="28"/>
      <c r="Q1" s="1"/>
      <c r="S1"/>
    </row>
    <row r="2" spans="1:23" x14ac:dyDescent="0.35">
      <c r="I2" s="28"/>
      <c r="J2" s="28"/>
      <c r="K2" s="28"/>
      <c r="L2" s="28"/>
      <c r="Q2" s="1"/>
      <c r="S2"/>
    </row>
    <row r="3" spans="1:23" s="2" customFormat="1" ht="72.5" x14ac:dyDescent="0.35">
      <c r="A3" s="92" t="s">
        <v>44</v>
      </c>
      <c r="B3" s="92" t="s">
        <v>0</v>
      </c>
      <c r="C3" s="92" t="s">
        <v>117</v>
      </c>
      <c r="D3" s="92" t="s">
        <v>118</v>
      </c>
      <c r="E3" s="92" t="s">
        <v>78</v>
      </c>
      <c r="F3" s="92" t="s">
        <v>5</v>
      </c>
      <c r="G3" s="92" t="s">
        <v>102</v>
      </c>
      <c r="H3" s="92" t="s">
        <v>7</v>
      </c>
      <c r="I3" s="92" t="s">
        <v>41</v>
      </c>
      <c r="J3" s="92" t="s">
        <v>108</v>
      </c>
      <c r="K3" s="92" t="s">
        <v>40</v>
      </c>
      <c r="L3" s="92" t="s">
        <v>8</v>
      </c>
      <c r="M3" s="92" t="s">
        <v>13</v>
      </c>
      <c r="N3" s="92" t="s">
        <v>14</v>
      </c>
      <c r="O3" s="92" t="s">
        <v>15</v>
      </c>
      <c r="P3" s="92" t="s">
        <v>16</v>
      </c>
    </row>
    <row r="4" spans="1:23" s="1" customFormat="1" x14ac:dyDescent="0.35">
      <c r="A4" s="53">
        <v>0</v>
      </c>
      <c r="B4" s="53">
        <v>2019</v>
      </c>
      <c r="C4" s="47">
        <v>0</v>
      </c>
      <c r="D4" s="53"/>
      <c r="E4" s="48"/>
      <c r="F4" s="48"/>
      <c r="G4" s="64"/>
      <c r="H4" s="47"/>
      <c r="I4" s="65"/>
      <c r="J4" s="65"/>
      <c r="K4" s="65"/>
      <c r="L4" s="64"/>
      <c r="M4" s="50"/>
      <c r="N4" s="50"/>
      <c r="O4" s="50"/>
      <c r="P4" s="64"/>
      <c r="R4" s="31"/>
      <c r="S4" s="31"/>
      <c r="T4" s="8"/>
    </row>
    <row r="5" spans="1:23" x14ac:dyDescent="0.35">
      <c r="A5" s="66">
        <v>0</v>
      </c>
      <c r="B5" s="66">
        <v>2020</v>
      </c>
      <c r="C5" s="43">
        <v>0</v>
      </c>
      <c r="D5" s="66"/>
      <c r="E5" s="44"/>
      <c r="F5" s="44"/>
      <c r="G5" s="67"/>
      <c r="H5" s="43"/>
      <c r="I5" s="68"/>
      <c r="J5" s="68"/>
      <c r="K5" s="68"/>
      <c r="L5" s="67"/>
      <c r="M5" s="46"/>
      <c r="N5" s="46"/>
      <c r="O5" s="46"/>
      <c r="P5" s="67"/>
      <c r="R5" s="31"/>
      <c r="S5"/>
      <c r="U5" s="1"/>
      <c r="W5" s="1"/>
    </row>
    <row r="6" spans="1:23" x14ac:dyDescent="0.35">
      <c r="A6" s="53">
        <v>0</v>
      </c>
      <c r="B6" s="53">
        <v>2021</v>
      </c>
      <c r="C6" s="47">
        <v>0</v>
      </c>
      <c r="D6" s="53"/>
      <c r="E6" s="48"/>
      <c r="F6" s="48"/>
      <c r="G6" s="64"/>
      <c r="H6" s="47"/>
      <c r="I6" s="65"/>
      <c r="J6" s="65"/>
      <c r="K6" s="65"/>
      <c r="L6" s="64"/>
      <c r="M6" s="50"/>
      <c r="N6" s="50"/>
      <c r="O6" s="50"/>
      <c r="P6" s="64"/>
      <c r="R6" s="31"/>
      <c r="S6"/>
      <c r="U6" s="1"/>
      <c r="W6" s="1"/>
    </row>
    <row r="7" spans="1:23" x14ac:dyDescent="0.35">
      <c r="A7" s="66">
        <v>1</v>
      </c>
      <c r="B7" s="66">
        <v>2022</v>
      </c>
      <c r="C7" s="43">
        <v>2800</v>
      </c>
      <c r="D7" s="46">
        <v>4</v>
      </c>
      <c r="E7" s="43">
        <f t="shared" ref="E7" si="0">D7*C7</f>
        <v>11200</v>
      </c>
      <c r="F7" s="44">
        <f t="shared" ref="F7" si="1">E7/20</f>
        <v>560</v>
      </c>
      <c r="G7" s="52">
        <f t="shared" ref="G7" si="2">E7*0.39</f>
        <v>4368</v>
      </c>
      <c r="H7" s="43">
        <v>2.34</v>
      </c>
      <c r="I7" s="68">
        <v>46</v>
      </c>
      <c r="J7" s="68">
        <f t="shared" ref="J7" si="3">I7*(242.839/207.342)</f>
        <v>53.875211004041631</v>
      </c>
      <c r="K7" s="68">
        <f>J7/(1.03^A7)</f>
        <v>52.306030101011288</v>
      </c>
      <c r="L7" s="67">
        <f>H7*K7</f>
        <v>122.39611043636641</v>
      </c>
      <c r="M7" s="86">
        <f>C7/1000000</f>
        <v>2.8E-3</v>
      </c>
      <c r="N7" s="46">
        <v>1</v>
      </c>
      <c r="O7" s="86">
        <f t="shared" ref="O7" si="4">M7*N7</f>
        <v>2.8E-3</v>
      </c>
      <c r="P7" s="67">
        <f>O7*'Travel-Safety'!$C$67</f>
        <v>216.16080187793426</v>
      </c>
      <c r="R7" s="31"/>
      <c r="S7"/>
      <c r="U7" s="1"/>
      <c r="W7" s="1"/>
    </row>
    <row r="8" spans="1:23" x14ac:dyDescent="0.35">
      <c r="A8" s="53">
        <v>2</v>
      </c>
      <c r="B8" s="53">
        <v>2023</v>
      </c>
      <c r="C8" s="47">
        <f t="shared" ref="C8:C26" si="5">140000/5*0.1</f>
        <v>2800</v>
      </c>
      <c r="D8" s="50">
        <v>4</v>
      </c>
      <c r="E8" s="47">
        <f t="shared" ref="E8:E26" si="6">D8*C8</f>
        <v>11200</v>
      </c>
      <c r="F8" s="48">
        <f t="shared" ref="F8:F25" si="7">E8/20</f>
        <v>560</v>
      </c>
      <c r="G8" s="51">
        <f>E8*0.39</f>
        <v>4368</v>
      </c>
      <c r="H8" s="47">
        <v>2.34</v>
      </c>
      <c r="I8" s="65">
        <v>46</v>
      </c>
      <c r="J8" s="65">
        <f t="shared" ref="J8:J26" si="8">I8*(242.839/207.342)</f>
        <v>53.875211004041631</v>
      </c>
      <c r="K8" s="65">
        <f t="shared" ref="K8:K26" si="9">J8/(1.03^A8)</f>
        <v>50.78255349612747</v>
      </c>
      <c r="L8" s="64">
        <f>H8*K8</f>
        <v>118.83117518093827</v>
      </c>
      <c r="M8" s="87">
        <f t="shared" ref="M8:M26" si="10">C8/1000000</f>
        <v>2.8E-3</v>
      </c>
      <c r="N8" s="50">
        <v>1</v>
      </c>
      <c r="O8" s="87">
        <f>M8*N8</f>
        <v>2.8E-3</v>
      </c>
      <c r="P8" s="64">
        <f>O8*'Travel-Safety'!$C$67</f>
        <v>216.16080187793426</v>
      </c>
      <c r="R8" s="31"/>
      <c r="S8"/>
      <c r="U8" s="1"/>
      <c r="W8" s="1"/>
    </row>
    <row r="9" spans="1:23" x14ac:dyDescent="0.35">
      <c r="A9" s="66">
        <v>3</v>
      </c>
      <c r="B9" s="66">
        <v>2024</v>
      </c>
      <c r="C9" s="43">
        <f t="shared" si="5"/>
        <v>2800</v>
      </c>
      <c r="D9" s="46">
        <v>4</v>
      </c>
      <c r="E9" s="43">
        <f t="shared" si="6"/>
        <v>11200</v>
      </c>
      <c r="F9" s="44">
        <f t="shared" si="7"/>
        <v>560</v>
      </c>
      <c r="G9" s="52">
        <f t="shared" ref="G9:G26" si="11">E9*0.39</f>
        <v>4368</v>
      </c>
      <c r="H9" s="43">
        <v>2.34</v>
      </c>
      <c r="I9" s="68">
        <v>46</v>
      </c>
      <c r="J9" s="68">
        <f t="shared" si="8"/>
        <v>53.875211004041631</v>
      </c>
      <c r="K9" s="68">
        <f t="shared" si="9"/>
        <v>49.303449996240261</v>
      </c>
      <c r="L9" s="67">
        <f t="shared" ref="L9:L26" si="12">H9*K9</f>
        <v>115.37007299120221</v>
      </c>
      <c r="M9" s="86">
        <f t="shared" si="10"/>
        <v>2.8E-3</v>
      </c>
      <c r="N9" s="46">
        <v>1</v>
      </c>
      <c r="O9" s="86">
        <f t="shared" ref="O9:O26" si="13">M9*N9</f>
        <v>2.8E-3</v>
      </c>
      <c r="P9" s="67">
        <f>O9*'Travel-Safety'!$C$67</f>
        <v>216.16080187793426</v>
      </c>
      <c r="R9" s="31"/>
      <c r="S9"/>
      <c r="U9" s="1"/>
      <c r="W9" s="1"/>
    </row>
    <row r="10" spans="1:23" x14ac:dyDescent="0.35">
      <c r="A10" s="53">
        <v>4</v>
      </c>
      <c r="B10" s="53">
        <v>2025</v>
      </c>
      <c r="C10" s="47">
        <f t="shared" si="5"/>
        <v>2800</v>
      </c>
      <c r="D10" s="50">
        <v>4</v>
      </c>
      <c r="E10" s="47">
        <f t="shared" si="6"/>
        <v>11200</v>
      </c>
      <c r="F10" s="48">
        <f t="shared" si="7"/>
        <v>560</v>
      </c>
      <c r="G10" s="51">
        <f t="shared" si="11"/>
        <v>4368</v>
      </c>
      <c r="H10" s="47">
        <v>2.34</v>
      </c>
      <c r="I10" s="65">
        <v>46</v>
      </c>
      <c r="J10" s="65">
        <f t="shared" si="8"/>
        <v>53.875211004041631</v>
      </c>
      <c r="K10" s="65">
        <f t="shared" si="9"/>
        <v>47.867427180815788</v>
      </c>
      <c r="L10" s="64">
        <f t="shared" si="12"/>
        <v>112.00977960310894</v>
      </c>
      <c r="M10" s="87">
        <f t="shared" si="10"/>
        <v>2.8E-3</v>
      </c>
      <c r="N10" s="50">
        <v>1</v>
      </c>
      <c r="O10" s="87">
        <f t="shared" si="13"/>
        <v>2.8E-3</v>
      </c>
      <c r="P10" s="64">
        <f>O10*'Travel-Safety'!$C$67</f>
        <v>216.16080187793426</v>
      </c>
      <c r="R10" s="31"/>
      <c r="S10"/>
      <c r="U10" s="1"/>
      <c r="W10" s="1"/>
    </row>
    <row r="11" spans="1:23" x14ac:dyDescent="0.35">
      <c r="A11" s="66">
        <v>5</v>
      </c>
      <c r="B11" s="66">
        <v>2026</v>
      </c>
      <c r="C11" s="43">
        <f t="shared" si="5"/>
        <v>2800</v>
      </c>
      <c r="D11" s="46">
        <v>4</v>
      </c>
      <c r="E11" s="43">
        <f t="shared" si="6"/>
        <v>11200</v>
      </c>
      <c r="F11" s="44">
        <f t="shared" si="7"/>
        <v>560</v>
      </c>
      <c r="G11" s="52">
        <f t="shared" si="11"/>
        <v>4368</v>
      </c>
      <c r="H11" s="43">
        <v>2.34</v>
      </c>
      <c r="I11" s="68">
        <v>46</v>
      </c>
      <c r="J11" s="68">
        <f t="shared" si="8"/>
        <v>53.875211004041631</v>
      </c>
      <c r="K11" s="68">
        <f t="shared" si="9"/>
        <v>46.473230272636691</v>
      </c>
      <c r="L11" s="67">
        <f t="shared" si="12"/>
        <v>108.74735883796986</v>
      </c>
      <c r="M11" s="86">
        <f t="shared" si="10"/>
        <v>2.8E-3</v>
      </c>
      <c r="N11" s="46">
        <v>1</v>
      </c>
      <c r="O11" s="86">
        <f t="shared" si="13"/>
        <v>2.8E-3</v>
      </c>
      <c r="P11" s="67">
        <f>O11*'Travel-Safety'!$C$67</f>
        <v>216.16080187793426</v>
      </c>
      <c r="R11" s="31"/>
      <c r="S11"/>
      <c r="U11" s="1"/>
      <c r="W11" s="1"/>
    </row>
    <row r="12" spans="1:23" x14ac:dyDescent="0.35">
      <c r="A12" s="53">
        <v>6</v>
      </c>
      <c r="B12" s="53">
        <v>2027</v>
      </c>
      <c r="C12" s="47">
        <f t="shared" si="5"/>
        <v>2800</v>
      </c>
      <c r="D12" s="50">
        <v>4</v>
      </c>
      <c r="E12" s="47">
        <f t="shared" si="6"/>
        <v>11200</v>
      </c>
      <c r="F12" s="48">
        <f t="shared" si="7"/>
        <v>560</v>
      </c>
      <c r="G12" s="51">
        <f t="shared" si="11"/>
        <v>4368</v>
      </c>
      <c r="H12" s="47">
        <v>2.34</v>
      </c>
      <c r="I12" s="65">
        <v>46</v>
      </c>
      <c r="J12" s="65">
        <f t="shared" si="8"/>
        <v>53.875211004041631</v>
      </c>
      <c r="K12" s="65">
        <f t="shared" si="9"/>
        <v>45.119641041394843</v>
      </c>
      <c r="L12" s="64">
        <f t="shared" si="12"/>
        <v>105.57996003686392</v>
      </c>
      <c r="M12" s="87">
        <f t="shared" si="10"/>
        <v>2.8E-3</v>
      </c>
      <c r="N12" s="50">
        <v>1</v>
      </c>
      <c r="O12" s="87">
        <f t="shared" si="13"/>
        <v>2.8E-3</v>
      </c>
      <c r="P12" s="64">
        <f>O12*'Travel-Safety'!$C$67</f>
        <v>216.16080187793426</v>
      </c>
      <c r="R12" s="31"/>
      <c r="S12"/>
      <c r="U12" s="1"/>
      <c r="W12" s="1"/>
    </row>
    <row r="13" spans="1:23" x14ac:dyDescent="0.35">
      <c r="A13" s="66">
        <v>7</v>
      </c>
      <c r="B13" s="66">
        <v>2028</v>
      </c>
      <c r="C13" s="43">
        <f t="shared" si="5"/>
        <v>2800</v>
      </c>
      <c r="D13" s="46">
        <v>4</v>
      </c>
      <c r="E13" s="43">
        <f t="shared" si="6"/>
        <v>11200</v>
      </c>
      <c r="F13" s="44">
        <f t="shared" si="7"/>
        <v>560</v>
      </c>
      <c r="G13" s="52">
        <f t="shared" si="11"/>
        <v>4368</v>
      </c>
      <c r="H13" s="43">
        <v>2.34</v>
      </c>
      <c r="I13" s="68">
        <v>50</v>
      </c>
      <c r="J13" s="68">
        <f t="shared" si="8"/>
        <v>58.560011960914814</v>
      </c>
      <c r="K13" s="68">
        <f t="shared" si="9"/>
        <v>47.614648629585098</v>
      </c>
      <c r="L13" s="67">
        <f t="shared" si="12"/>
        <v>111.41827779322912</v>
      </c>
      <c r="M13" s="86">
        <f t="shared" si="10"/>
        <v>2.8E-3</v>
      </c>
      <c r="N13" s="46">
        <v>1</v>
      </c>
      <c r="O13" s="86">
        <f t="shared" si="13"/>
        <v>2.8E-3</v>
      </c>
      <c r="P13" s="67">
        <f>O13*'Travel-Safety'!$C$67</f>
        <v>216.16080187793426</v>
      </c>
      <c r="R13" s="31"/>
      <c r="S13"/>
      <c r="U13" s="1"/>
      <c r="W13" s="1"/>
    </row>
    <row r="14" spans="1:23" x14ac:dyDescent="0.35">
      <c r="A14" s="53">
        <v>8</v>
      </c>
      <c r="B14" s="53">
        <v>2029</v>
      </c>
      <c r="C14" s="47">
        <f t="shared" si="5"/>
        <v>2800</v>
      </c>
      <c r="D14" s="50">
        <v>4</v>
      </c>
      <c r="E14" s="47">
        <f t="shared" si="6"/>
        <v>11200</v>
      </c>
      <c r="F14" s="48">
        <f t="shared" si="7"/>
        <v>560</v>
      </c>
      <c r="G14" s="51">
        <f t="shared" si="11"/>
        <v>4368</v>
      </c>
      <c r="H14" s="47">
        <v>2.34</v>
      </c>
      <c r="I14" s="65">
        <v>50</v>
      </c>
      <c r="J14" s="65">
        <f t="shared" si="8"/>
        <v>58.560011960914814</v>
      </c>
      <c r="K14" s="65">
        <f t="shared" si="9"/>
        <v>46.227814203480683</v>
      </c>
      <c r="L14" s="64">
        <f t="shared" si="12"/>
        <v>108.17308523614479</v>
      </c>
      <c r="M14" s="87">
        <f t="shared" si="10"/>
        <v>2.8E-3</v>
      </c>
      <c r="N14" s="50">
        <v>1</v>
      </c>
      <c r="O14" s="87">
        <f t="shared" si="13"/>
        <v>2.8E-3</v>
      </c>
      <c r="P14" s="64">
        <f>O14*'Travel-Safety'!$C$67</f>
        <v>216.16080187793426</v>
      </c>
      <c r="R14" s="31"/>
      <c r="S14"/>
      <c r="U14" s="1"/>
      <c r="W14" s="1"/>
    </row>
    <row r="15" spans="1:23" x14ac:dyDescent="0.35">
      <c r="A15" s="66">
        <v>9</v>
      </c>
      <c r="B15" s="66">
        <v>2030</v>
      </c>
      <c r="C15" s="43">
        <f t="shared" si="5"/>
        <v>2800</v>
      </c>
      <c r="D15" s="46">
        <v>4</v>
      </c>
      <c r="E15" s="43">
        <f t="shared" si="6"/>
        <v>11200</v>
      </c>
      <c r="F15" s="44">
        <f t="shared" si="7"/>
        <v>560</v>
      </c>
      <c r="G15" s="52">
        <f t="shared" si="11"/>
        <v>4368</v>
      </c>
      <c r="H15" s="43">
        <v>2.34</v>
      </c>
      <c r="I15" s="68">
        <v>50</v>
      </c>
      <c r="J15" s="68">
        <f t="shared" si="8"/>
        <v>58.560011960914814</v>
      </c>
      <c r="K15" s="68">
        <f t="shared" si="9"/>
        <v>44.881373013088044</v>
      </c>
      <c r="L15" s="67">
        <f t="shared" si="12"/>
        <v>105.02241285062601</v>
      </c>
      <c r="M15" s="86">
        <f t="shared" si="10"/>
        <v>2.8E-3</v>
      </c>
      <c r="N15" s="46">
        <v>1</v>
      </c>
      <c r="O15" s="86">
        <f t="shared" si="13"/>
        <v>2.8E-3</v>
      </c>
      <c r="P15" s="67">
        <f>O15*'Travel-Safety'!$C$67</f>
        <v>216.16080187793426</v>
      </c>
      <c r="R15" s="31"/>
      <c r="S15"/>
      <c r="U15" s="1"/>
      <c r="W15" s="1"/>
    </row>
    <row r="16" spans="1:23" x14ac:dyDescent="0.35">
      <c r="A16" s="53">
        <v>10</v>
      </c>
      <c r="B16" s="53">
        <v>2031</v>
      </c>
      <c r="C16" s="47">
        <f t="shared" si="5"/>
        <v>2800</v>
      </c>
      <c r="D16" s="50">
        <v>4</v>
      </c>
      <c r="E16" s="47">
        <f t="shared" si="6"/>
        <v>11200</v>
      </c>
      <c r="F16" s="48">
        <f t="shared" si="7"/>
        <v>560</v>
      </c>
      <c r="G16" s="51">
        <f t="shared" si="11"/>
        <v>4368</v>
      </c>
      <c r="H16" s="47">
        <v>2.34</v>
      </c>
      <c r="I16" s="65">
        <v>50</v>
      </c>
      <c r="J16" s="65">
        <f t="shared" si="8"/>
        <v>58.560011960914814</v>
      </c>
      <c r="K16" s="65">
        <f t="shared" si="9"/>
        <v>43.574148556396153</v>
      </c>
      <c r="L16" s="64">
        <f t="shared" si="12"/>
        <v>101.963507621967</v>
      </c>
      <c r="M16" s="87">
        <f t="shared" si="10"/>
        <v>2.8E-3</v>
      </c>
      <c r="N16" s="50">
        <v>1</v>
      </c>
      <c r="O16" s="87">
        <f t="shared" si="13"/>
        <v>2.8E-3</v>
      </c>
      <c r="P16" s="64">
        <f>O16*'Travel-Safety'!$C$67</f>
        <v>216.16080187793426</v>
      </c>
      <c r="R16" s="31"/>
      <c r="S16"/>
      <c r="U16" s="1"/>
      <c r="W16" s="1"/>
    </row>
    <row r="17" spans="1:23" x14ac:dyDescent="0.35">
      <c r="A17" s="66">
        <v>11</v>
      </c>
      <c r="B17" s="66">
        <v>2032</v>
      </c>
      <c r="C17" s="43">
        <f t="shared" si="5"/>
        <v>2800</v>
      </c>
      <c r="D17" s="46">
        <v>4</v>
      </c>
      <c r="E17" s="43">
        <f t="shared" si="6"/>
        <v>11200</v>
      </c>
      <c r="F17" s="44">
        <f t="shared" si="7"/>
        <v>560</v>
      </c>
      <c r="G17" s="52">
        <f t="shared" si="11"/>
        <v>4368</v>
      </c>
      <c r="H17" s="43">
        <v>2.34</v>
      </c>
      <c r="I17" s="68">
        <v>50</v>
      </c>
      <c r="J17" s="68">
        <f t="shared" si="8"/>
        <v>58.560011960914814</v>
      </c>
      <c r="K17" s="68">
        <f t="shared" si="9"/>
        <v>42.304998598442872</v>
      </c>
      <c r="L17" s="67">
        <f>H17*K17</f>
        <v>98.993696720356311</v>
      </c>
      <c r="M17" s="86">
        <f t="shared" si="10"/>
        <v>2.8E-3</v>
      </c>
      <c r="N17" s="46">
        <v>1</v>
      </c>
      <c r="O17" s="86">
        <f t="shared" si="13"/>
        <v>2.8E-3</v>
      </c>
      <c r="P17" s="67">
        <f>O17*'Travel-Safety'!$C$67</f>
        <v>216.16080187793426</v>
      </c>
      <c r="R17" s="31"/>
      <c r="S17"/>
      <c r="U17" s="1"/>
      <c r="W17" s="1"/>
    </row>
    <row r="18" spans="1:23" x14ac:dyDescent="0.35">
      <c r="A18" s="53">
        <v>12</v>
      </c>
      <c r="B18" s="53">
        <v>2033</v>
      </c>
      <c r="C18" s="47">
        <f t="shared" si="5"/>
        <v>2800</v>
      </c>
      <c r="D18" s="50">
        <v>4</v>
      </c>
      <c r="E18" s="47">
        <f t="shared" si="6"/>
        <v>11200</v>
      </c>
      <c r="F18" s="48">
        <f t="shared" si="7"/>
        <v>560</v>
      </c>
      <c r="G18" s="51">
        <f t="shared" si="11"/>
        <v>4368</v>
      </c>
      <c r="H18" s="47">
        <v>2.34</v>
      </c>
      <c r="I18" s="65">
        <v>55</v>
      </c>
      <c r="J18" s="65">
        <f t="shared" si="8"/>
        <v>64.41601315700629</v>
      </c>
      <c r="K18" s="65">
        <f t="shared" si="9"/>
        <v>45.180095590570055</v>
      </c>
      <c r="L18" s="64">
        <f t="shared" si="12"/>
        <v>105.72142368193393</v>
      </c>
      <c r="M18" s="87">
        <f t="shared" si="10"/>
        <v>2.8E-3</v>
      </c>
      <c r="N18" s="50">
        <v>1</v>
      </c>
      <c r="O18" s="87">
        <f t="shared" si="13"/>
        <v>2.8E-3</v>
      </c>
      <c r="P18" s="64">
        <f>O18*'Travel-Safety'!$C$67</f>
        <v>216.16080187793426</v>
      </c>
      <c r="U18" s="1"/>
      <c r="W18" s="1"/>
    </row>
    <row r="19" spans="1:23" x14ac:dyDescent="0.35">
      <c r="A19" s="66">
        <v>13</v>
      </c>
      <c r="B19" s="66">
        <v>2034</v>
      </c>
      <c r="C19" s="43">
        <f t="shared" si="5"/>
        <v>2800</v>
      </c>
      <c r="D19" s="46">
        <v>4</v>
      </c>
      <c r="E19" s="43">
        <f t="shared" si="6"/>
        <v>11200</v>
      </c>
      <c r="F19" s="44">
        <f t="shared" si="7"/>
        <v>560</v>
      </c>
      <c r="G19" s="52">
        <f t="shared" si="11"/>
        <v>4368</v>
      </c>
      <c r="H19" s="43">
        <v>2.34</v>
      </c>
      <c r="I19" s="68">
        <v>55</v>
      </c>
      <c r="J19" s="68">
        <f t="shared" si="8"/>
        <v>64.41601315700629</v>
      </c>
      <c r="K19" s="68">
        <f t="shared" si="9"/>
        <v>43.864170476281615</v>
      </c>
      <c r="L19" s="67">
        <f t="shared" si="12"/>
        <v>102.64215891449898</v>
      </c>
      <c r="M19" s="86">
        <f t="shared" si="10"/>
        <v>2.8E-3</v>
      </c>
      <c r="N19" s="46">
        <v>1</v>
      </c>
      <c r="O19" s="86">
        <f t="shared" si="13"/>
        <v>2.8E-3</v>
      </c>
      <c r="P19" s="67">
        <f>O19*'Travel-Safety'!$C$67</f>
        <v>216.16080187793426</v>
      </c>
      <c r="U19" s="1"/>
      <c r="W19" s="1"/>
    </row>
    <row r="20" spans="1:23" x14ac:dyDescent="0.35">
      <c r="A20" s="53">
        <v>14</v>
      </c>
      <c r="B20" s="53">
        <v>2035</v>
      </c>
      <c r="C20" s="47">
        <f t="shared" si="5"/>
        <v>2800</v>
      </c>
      <c r="D20" s="50">
        <v>4</v>
      </c>
      <c r="E20" s="47">
        <f t="shared" si="6"/>
        <v>11200</v>
      </c>
      <c r="F20" s="48">
        <f t="shared" si="7"/>
        <v>560</v>
      </c>
      <c r="G20" s="51">
        <f t="shared" si="11"/>
        <v>4368</v>
      </c>
      <c r="H20" s="47">
        <v>2.34</v>
      </c>
      <c r="I20" s="65">
        <v>55</v>
      </c>
      <c r="J20" s="65">
        <f t="shared" si="8"/>
        <v>64.41601315700629</v>
      </c>
      <c r="K20" s="65">
        <f t="shared" si="9"/>
        <v>42.586573277943309</v>
      </c>
      <c r="L20" s="64">
        <f t="shared" si="12"/>
        <v>99.652581470387332</v>
      </c>
      <c r="M20" s="87">
        <f t="shared" si="10"/>
        <v>2.8E-3</v>
      </c>
      <c r="N20" s="50">
        <v>1</v>
      </c>
      <c r="O20" s="87">
        <f t="shared" si="13"/>
        <v>2.8E-3</v>
      </c>
      <c r="P20" s="64">
        <f>O20*'Travel-Safety'!$C$67</f>
        <v>216.16080187793426</v>
      </c>
      <c r="U20" s="1"/>
      <c r="W20" s="1"/>
    </row>
    <row r="21" spans="1:23" x14ac:dyDescent="0.35">
      <c r="A21" s="66">
        <v>15</v>
      </c>
      <c r="B21" s="66">
        <v>2036</v>
      </c>
      <c r="C21" s="43">
        <f t="shared" si="5"/>
        <v>2800</v>
      </c>
      <c r="D21" s="46">
        <v>4</v>
      </c>
      <c r="E21" s="43">
        <f t="shared" si="6"/>
        <v>11200</v>
      </c>
      <c r="F21" s="44">
        <f t="shared" si="7"/>
        <v>560</v>
      </c>
      <c r="G21" s="52">
        <f t="shared" si="11"/>
        <v>4368</v>
      </c>
      <c r="H21" s="43">
        <v>2.34</v>
      </c>
      <c r="I21" s="68">
        <v>55</v>
      </c>
      <c r="J21" s="68">
        <f t="shared" si="8"/>
        <v>64.41601315700629</v>
      </c>
      <c r="K21" s="68">
        <f t="shared" si="9"/>
        <v>41.346187648488645</v>
      </c>
      <c r="L21" s="67">
        <f t="shared" si="12"/>
        <v>96.750079097463427</v>
      </c>
      <c r="M21" s="86">
        <f t="shared" si="10"/>
        <v>2.8E-3</v>
      </c>
      <c r="N21" s="46">
        <v>1</v>
      </c>
      <c r="O21" s="86">
        <f t="shared" si="13"/>
        <v>2.8E-3</v>
      </c>
      <c r="P21" s="67">
        <f>O21*'Travel-Safety'!$C$67</f>
        <v>216.16080187793426</v>
      </c>
      <c r="U21" s="1"/>
      <c r="W21" s="1"/>
    </row>
    <row r="22" spans="1:23" x14ac:dyDescent="0.35">
      <c r="A22" s="53">
        <v>16</v>
      </c>
      <c r="B22" s="53">
        <v>2037</v>
      </c>
      <c r="C22" s="47">
        <f t="shared" si="5"/>
        <v>2800</v>
      </c>
      <c r="D22" s="50">
        <v>4</v>
      </c>
      <c r="E22" s="47">
        <f t="shared" si="6"/>
        <v>11200</v>
      </c>
      <c r="F22" s="48">
        <f t="shared" si="7"/>
        <v>560</v>
      </c>
      <c r="G22" s="51">
        <f t="shared" si="11"/>
        <v>4368</v>
      </c>
      <c r="H22" s="47">
        <v>2.34</v>
      </c>
      <c r="I22" s="65">
        <v>55</v>
      </c>
      <c r="J22" s="65">
        <f t="shared" si="8"/>
        <v>64.41601315700629</v>
      </c>
      <c r="K22" s="65">
        <f t="shared" si="9"/>
        <v>40.141929755814225</v>
      </c>
      <c r="L22" s="64">
        <f t="shared" si="12"/>
        <v>93.932115628605274</v>
      </c>
      <c r="M22" s="87">
        <f t="shared" si="10"/>
        <v>2.8E-3</v>
      </c>
      <c r="N22" s="50">
        <v>1</v>
      </c>
      <c r="O22" s="87">
        <f t="shared" si="13"/>
        <v>2.8E-3</v>
      </c>
      <c r="P22" s="64">
        <f>O22*'Travel-Safety'!$C$67</f>
        <v>216.16080187793426</v>
      </c>
      <c r="U22" s="1"/>
      <c r="W22" s="1"/>
    </row>
    <row r="23" spans="1:23" x14ac:dyDescent="0.35">
      <c r="A23" s="66">
        <v>17</v>
      </c>
      <c r="B23" s="66">
        <v>2038</v>
      </c>
      <c r="C23" s="43">
        <f t="shared" si="5"/>
        <v>2800</v>
      </c>
      <c r="D23" s="46">
        <v>4</v>
      </c>
      <c r="E23" s="43">
        <f t="shared" si="6"/>
        <v>11200</v>
      </c>
      <c r="F23" s="44">
        <f t="shared" si="7"/>
        <v>560</v>
      </c>
      <c r="G23" s="52">
        <f t="shared" si="11"/>
        <v>4368</v>
      </c>
      <c r="H23" s="43">
        <v>2.34</v>
      </c>
      <c r="I23" s="68">
        <v>60</v>
      </c>
      <c r="J23" s="68">
        <f t="shared" si="8"/>
        <v>70.272014353097774</v>
      </c>
      <c r="K23" s="68">
        <f t="shared" si="9"/>
        <v>42.515724366263967</v>
      </c>
      <c r="L23" s="67">
        <f t="shared" si="12"/>
        <v>99.486795017057673</v>
      </c>
      <c r="M23" s="86">
        <f t="shared" si="10"/>
        <v>2.8E-3</v>
      </c>
      <c r="N23" s="46">
        <v>1</v>
      </c>
      <c r="O23" s="86">
        <f t="shared" si="13"/>
        <v>2.8E-3</v>
      </c>
      <c r="P23" s="67">
        <f>O23*'Travel-Safety'!$C$67</f>
        <v>216.16080187793426</v>
      </c>
      <c r="U23" s="1"/>
      <c r="W23" s="1"/>
    </row>
    <row r="24" spans="1:23" x14ac:dyDescent="0.35">
      <c r="A24" s="53">
        <v>18</v>
      </c>
      <c r="B24" s="53">
        <v>2039</v>
      </c>
      <c r="C24" s="47">
        <f t="shared" si="5"/>
        <v>2800</v>
      </c>
      <c r="D24" s="50">
        <v>4</v>
      </c>
      <c r="E24" s="47">
        <f t="shared" si="6"/>
        <v>11200</v>
      </c>
      <c r="F24" s="48">
        <f t="shared" si="7"/>
        <v>560</v>
      </c>
      <c r="G24" s="51">
        <f t="shared" si="11"/>
        <v>4368</v>
      </c>
      <c r="H24" s="47">
        <v>2.34</v>
      </c>
      <c r="I24" s="65">
        <v>60</v>
      </c>
      <c r="J24" s="65">
        <f t="shared" si="8"/>
        <v>70.272014353097774</v>
      </c>
      <c r="K24" s="65">
        <f t="shared" si="9"/>
        <v>41.277402297343656</v>
      </c>
      <c r="L24" s="64">
        <f t="shared" si="12"/>
        <v>96.589121375784146</v>
      </c>
      <c r="M24" s="87">
        <f t="shared" si="10"/>
        <v>2.8E-3</v>
      </c>
      <c r="N24" s="50">
        <v>1</v>
      </c>
      <c r="O24" s="87">
        <f t="shared" si="13"/>
        <v>2.8E-3</v>
      </c>
      <c r="P24" s="64">
        <f>O24*'Travel-Safety'!$C$67</f>
        <v>216.16080187793426</v>
      </c>
      <c r="U24" s="1"/>
      <c r="W24" s="1"/>
    </row>
    <row r="25" spans="1:23" x14ac:dyDescent="0.35">
      <c r="A25" s="66">
        <v>19</v>
      </c>
      <c r="B25" s="66">
        <v>2040</v>
      </c>
      <c r="C25" s="43">
        <f t="shared" si="5"/>
        <v>2800</v>
      </c>
      <c r="D25" s="46">
        <v>4</v>
      </c>
      <c r="E25" s="43">
        <f t="shared" si="6"/>
        <v>11200</v>
      </c>
      <c r="F25" s="44">
        <f t="shared" si="7"/>
        <v>560</v>
      </c>
      <c r="G25" s="52">
        <f t="shared" si="11"/>
        <v>4368</v>
      </c>
      <c r="H25" s="43">
        <v>2.34</v>
      </c>
      <c r="I25" s="68">
        <v>60</v>
      </c>
      <c r="J25" s="68">
        <f t="shared" si="8"/>
        <v>70.272014353097774</v>
      </c>
      <c r="K25" s="68">
        <f t="shared" si="9"/>
        <v>40.075147861498692</v>
      </c>
      <c r="L25" s="67">
        <f t="shared" si="12"/>
        <v>93.775845995906934</v>
      </c>
      <c r="M25" s="86">
        <f t="shared" si="10"/>
        <v>2.8E-3</v>
      </c>
      <c r="N25" s="46">
        <v>1</v>
      </c>
      <c r="O25" s="86">
        <f t="shared" si="13"/>
        <v>2.8E-3</v>
      </c>
      <c r="P25" s="67">
        <f>O25*'Travel-Safety'!$C$67</f>
        <v>216.16080187793426</v>
      </c>
      <c r="R25" s="31"/>
      <c r="S25"/>
      <c r="U25" s="1"/>
      <c r="W25" s="1"/>
    </row>
    <row r="26" spans="1:23" x14ac:dyDescent="0.35">
      <c r="A26" s="53">
        <v>20</v>
      </c>
      <c r="B26" s="53">
        <v>2041</v>
      </c>
      <c r="C26" s="47">
        <f t="shared" si="5"/>
        <v>2800</v>
      </c>
      <c r="D26" s="50">
        <v>4</v>
      </c>
      <c r="E26" s="47">
        <f t="shared" si="6"/>
        <v>11200</v>
      </c>
      <c r="F26" s="48">
        <f>E26/20</f>
        <v>560</v>
      </c>
      <c r="G26" s="51">
        <f t="shared" si="11"/>
        <v>4368</v>
      </c>
      <c r="H26" s="47">
        <v>2.34</v>
      </c>
      <c r="I26" s="65">
        <v>60</v>
      </c>
      <c r="J26" s="65">
        <f t="shared" si="8"/>
        <v>70.272014353097774</v>
      </c>
      <c r="K26" s="65">
        <f t="shared" si="9"/>
        <v>38.907910545144368</v>
      </c>
      <c r="L26" s="64">
        <f t="shared" si="12"/>
        <v>91.04451067563781</v>
      </c>
      <c r="M26" s="87">
        <f t="shared" si="10"/>
        <v>2.8E-3</v>
      </c>
      <c r="N26" s="50">
        <v>1</v>
      </c>
      <c r="O26" s="87">
        <f t="shared" si="13"/>
        <v>2.8E-3</v>
      </c>
      <c r="P26" s="64">
        <f>O26*'Travel-Safety'!$C$67</f>
        <v>216.16080187793426</v>
      </c>
      <c r="R26" s="31"/>
      <c r="S26"/>
      <c r="U26" s="1"/>
      <c r="W26" s="1"/>
    </row>
    <row r="27" spans="1:23" x14ac:dyDescent="0.35">
      <c r="A27" s="105"/>
      <c r="B27" s="105"/>
      <c r="C27" s="114"/>
      <c r="D27" s="114"/>
      <c r="E27" s="114"/>
      <c r="F27" s="114"/>
      <c r="G27" s="115"/>
      <c r="H27" s="115"/>
      <c r="I27" s="115"/>
      <c r="J27" s="115"/>
      <c r="K27" s="114"/>
      <c r="L27" s="115"/>
      <c r="M27" s="105"/>
      <c r="N27" s="105"/>
      <c r="O27" s="114"/>
      <c r="P27" s="115"/>
      <c r="R27"/>
      <c r="S27"/>
    </row>
    <row r="28" spans="1:23" ht="15" thickBot="1" x14ac:dyDescent="0.4">
      <c r="A28" s="91"/>
      <c r="B28" s="91"/>
      <c r="C28" s="110"/>
      <c r="D28" s="110"/>
      <c r="E28" s="111"/>
      <c r="F28" s="112">
        <f>SUM(F4:F27)</f>
        <v>11200</v>
      </c>
      <c r="G28" s="113">
        <f>SUM(G4:G27)</f>
        <v>87360</v>
      </c>
      <c r="H28" s="112">
        <f>SUM(H4:H27)</f>
        <v>46.800000000000011</v>
      </c>
      <c r="I28" s="110"/>
      <c r="J28" s="110"/>
      <c r="K28" s="110"/>
      <c r="L28" s="113">
        <f>SUM(L4:L27)</f>
        <v>2088.1000691660483</v>
      </c>
      <c r="M28" s="91"/>
      <c r="N28" s="91"/>
      <c r="O28" s="110"/>
      <c r="P28" s="113">
        <f>SUM(P4:P27)</f>
        <v>4323.2160375586855</v>
      </c>
      <c r="R28"/>
      <c r="S28"/>
    </row>
    <row r="30" spans="1:23" x14ac:dyDescent="0.35">
      <c r="K30" t="s">
        <v>90</v>
      </c>
      <c r="N30" s="1"/>
      <c r="O30" s="1"/>
      <c r="R30"/>
      <c r="S30"/>
    </row>
    <row r="31" spans="1:23" x14ac:dyDescent="0.35">
      <c r="K31" t="s">
        <v>91</v>
      </c>
      <c r="N31" s="1"/>
      <c r="O31" s="1"/>
      <c r="R31"/>
      <c r="S31"/>
    </row>
    <row r="32" spans="1:23" x14ac:dyDescent="0.35">
      <c r="A32" t="s">
        <v>53</v>
      </c>
      <c r="B32" s="20"/>
      <c r="K32" t="s">
        <v>92</v>
      </c>
      <c r="Q32" s="30"/>
    </row>
    <row r="33" spans="1:28" x14ac:dyDescent="0.35">
      <c r="A33" s="20" t="s">
        <v>52</v>
      </c>
    </row>
    <row r="34" spans="1:28" x14ac:dyDescent="0.35">
      <c r="A34" s="20" t="s">
        <v>205</v>
      </c>
    </row>
    <row r="35" spans="1:28" x14ac:dyDescent="0.35">
      <c r="A35" s="42" t="s">
        <v>206</v>
      </c>
      <c r="B35" s="29"/>
    </row>
    <row r="36" spans="1:28" x14ac:dyDescent="0.35">
      <c r="A36" s="42" t="s">
        <v>207</v>
      </c>
      <c r="B36" s="29"/>
    </row>
    <row r="37" spans="1:28" x14ac:dyDescent="0.35">
      <c r="A37" s="42" t="s">
        <v>208</v>
      </c>
      <c r="B37" s="29"/>
    </row>
    <row r="38" spans="1:28" x14ac:dyDescent="0.35">
      <c r="A38" s="42" t="s">
        <v>209</v>
      </c>
      <c r="B38" s="29"/>
    </row>
    <row r="39" spans="1:28" x14ac:dyDescent="0.35">
      <c r="A39" s="42" t="s">
        <v>103</v>
      </c>
      <c r="B39" s="29"/>
    </row>
    <row r="40" spans="1:28" x14ac:dyDescent="0.35">
      <c r="A40" s="20" t="s">
        <v>210</v>
      </c>
      <c r="B40" s="29"/>
    </row>
    <row r="41" spans="1:28" s="1" customFormat="1" x14ac:dyDescent="0.35">
      <c r="A41" s="20" t="s">
        <v>211</v>
      </c>
      <c r="B41" s="29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T41"/>
      <c r="U41"/>
      <c r="V41"/>
      <c r="W41"/>
      <c r="X41"/>
      <c r="Y41"/>
      <c r="Z41"/>
      <c r="AA41"/>
      <c r="AB41"/>
    </row>
    <row r="42" spans="1:28" s="1" customFormat="1" x14ac:dyDescent="0.35">
      <c r="A42" s="20" t="s">
        <v>81</v>
      </c>
      <c r="B42" s="29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T42"/>
      <c r="U42"/>
      <c r="V42"/>
      <c r="W42"/>
      <c r="X42"/>
      <c r="Y42"/>
      <c r="Z42"/>
      <c r="AA42"/>
      <c r="AB42"/>
    </row>
    <row r="43" spans="1:28" s="1" customFormat="1" x14ac:dyDescent="0.35">
      <c r="A43" s="42" t="s">
        <v>212</v>
      </c>
      <c r="B43" s="29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T43"/>
      <c r="U43"/>
      <c r="V43"/>
      <c r="W43"/>
      <c r="X43"/>
      <c r="Y43"/>
      <c r="Z43"/>
      <c r="AA43"/>
      <c r="AB43"/>
    </row>
    <row r="44" spans="1:28" s="1" customFormat="1" x14ac:dyDescent="0.35">
      <c r="A44" s="42" t="s">
        <v>213</v>
      </c>
      <c r="B44" s="29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T44"/>
      <c r="U44"/>
      <c r="V44"/>
      <c r="W44"/>
      <c r="X44"/>
      <c r="Y44"/>
      <c r="Z44"/>
      <c r="AA44"/>
      <c r="AB44"/>
    </row>
    <row r="45" spans="1:28" s="1" customFormat="1" x14ac:dyDescent="0.35">
      <c r="A45" s="41" t="s">
        <v>214</v>
      </c>
      <c r="B45" s="29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T45"/>
      <c r="U45"/>
      <c r="V45"/>
      <c r="W45"/>
      <c r="X45"/>
      <c r="Y45"/>
      <c r="Z45"/>
      <c r="AA45"/>
      <c r="AB45"/>
    </row>
    <row r="46" spans="1:28" s="1" customFormat="1" x14ac:dyDescent="0.35">
      <c r="A46" s="41" t="s">
        <v>215</v>
      </c>
      <c r="B46" s="29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T46"/>
      <c r="U46"/>
      <c r="V46"/>
      <c r="W46"/>
      <c r="X46"/>
      <c r="Y46"/>
      <c r="Z46"/>
      <c r="AA46"/>
      <c r="AB46"/>
    </row>
    <row r="47" spans="1:28" s="1" customFormat="1" x14ac:dyDescent="0.35">
      <c r="A47" s="41" t="s">
        <v>216</v>
      </c>
      <c r="B47" s="29"/>
      <c r="C47" s="28"/>
      <c r="D47" s="28"/>
      <c r="E47" s="28"/>
      <c r="F47"/>
      <c r="G47"/>
      <c r="H47"/>
      <c r="I47"/>
      <c r="J47"/>
      <c r="K47"/>
      <c r="L47"/>
      <c r="M47"/>
      <c r="N47"/>
      <c r="O47"/>
      <c r="P47"/>
      <c r="Q47"/>
      <c r="T47"/>
      <c r="U47"/>
      <c r="V47"/>
      <c r="W47"/>
      <c r="X47"/>
      <c r="Y47"/>
      <c r="Z47"/>
      <c r="AA47"/>
      <c r="AB47"/>
    </row>
    <row r="48" spans="1:28" s="1" customFormat="1" x14ac:dyDescent="0.35">
      <c r="A48" s="19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T48"/>
      <c r="U48"/>
      <c r="V48"/>
      <c r="W48"/>
      <c r="X48"/>
      <c r="Y48"/>
      <c r="Z48"/>
      <c r="AA48"/>
      <c r="AB48"/>
    </row>
    <row r="49" spans="1:28" s="1" customFormat="1" x14ac:dyDescent="0.35">
      <c r="A49" s="18" t="s">
        <v>38</v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T49"/>
      <c r="U49"/>
      <c r="V49"/>
      <c r="W49"/>
      <c r="X49"/>
      <c r="Y49"/>
      <c r="Z49"/>
      <c r="AA49"/>
      <c r="AB49"/>
    </row>
    <row r="50" spans="1:28" s="1" customFormat="1" x14ac:dyDescent="0.35">
      <c r="A50" s="18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T50"/>
      <c r="U50"/>
      <c r="V50"/>
      <c r="W50"/>
      <c r="X50"/>
      <c r="Y50"/>
      <c r="Z50"/>
      <c r="AA50"/>
      <c r="AB50"/>
    </row>
    <row r="51" spans="1:28" s="1" customFormat="1" x14ac:dyDescent="0.35">
      <c r="A51" s="146" t="s">
        <v>202</v>
      </c>
      <c r="B51" s="146"/>
      <c r="C51" s="146"/>
      <c r="D51" s="146"/>
      <c r="E51"/>
      <c r="F51" s="146" t="s">
        <v>203</v>
      </c>
      <c r="G51" s="146"/>
      <c r="H51" s="146"/>
      <c r="I51"/>
      <c r="J51"/>
      <c r="K51"/>
      <c r="L51"/>
      <c r="M51"/>
      <c r="N51"/>
      <c r="O51"/>
      <c r="P51"/>
      <c r="Q51"/>
      <c r="T51"/>
      <c r="U51"/>
      <c r="V51"/>
      <c r="W51"/>
      <c r="X51"/>
      <c r="Y51"/>
      <c r="Z51"/>
      <c r="AA51"/>
      <c r="AB51"/>
    </row>
    <row r="52" spans="1:28" ht="58" x14ac:dyDescent="0.35">
      <c r="A52" s="126" t="s">
        <v>44</v>
      </c>
      <c r="B52" s="126" t="s">
        <v>120</v>
      </c>
      <c r="C52" s="126" t="s">
        <v>139</v>
      </c>
      <c r="D52" s="126" t="s">
        <v>134</v>
      </c>
      <c r="F52" s="126" t="s">
        <v>138</v>
      </c>
      <c r="G52" s="126" t="s">
        <v>140</v>
      </c>
      <c r="H52" s="126" t="s">
        <v>136</v>
      </c>
    </row>
    <row r="53" spans="1:28" x14ac:dyDescent="0.35">
      <c r="A53" s="4">
        <v>1</v>
      </c>
      <c r="B53" s="5">
        <f>L7</f>
        <v>122.39611043636641</v>
      </c>
      <c r="C53" s="5">
        <f>P7/(1.03^A53)</f>
        <v>209.86485619216919</v>
      </c>
      <c r="D53" s="5">
        <f>G7/(1.03^A53)</f>
        <v>4240.7766990291257</v>
      </c>
      <c r="F53" s="5">
        <f>B53/(1.07/1.03)^A53</f>
        <v>117.82055490603496</v>
      </c>
      <c r="G53" s="5">
        <f>C53/(1.07/1.03)^A53</f>
        <v>202.0194410074152</v>
      </c>
      <c r="H53" s="5">
        <f>D53/(1.07/1.03)^A53</f>
        <v>4082.2429906542052</v>
      </c>
    </row>
    <row r="54" spans="1:28" x14ac:dyDescent="0.35">
      <c r="A54" s="6">
        <v>2</v>
      </c>
      <c r="B54" s="7">
        <f>L8</f>
        <v>118.83117518093827</v>
      </c>
      <c r="C54" s="7">
        <f>P8/(1.03^A54)</f>
        <v>203.75228756521281</v>
      </c>
      <c r="D54" s="7">
        <f>G8/(1.03^A54)</f>
        <v>4117.2589310962394</v>
      </c>
      <c r="F54" s="7">
        <f t="shared" ref="F54:F72" si="14">B54/(1.07/1.03)^A54</f>
        <v>110.11266813648129</v>
      </c>
      <c r="G54" s="7">
        <f t="shared" ref="G54:G72" si="15">C54/(1.07/1.03)^A54</f>
        <v>188.80321589478058</v>
      </c>
      <c r="H54" s="7">
        <f t="shared" ref="H54:H72" si="16">D54/(1.07/1.03)^A54</f>
        <v>3815.1803650973889</v>
      </c>
    </row>
    <row r="55" spans="1:28" x14ac:dyDescent="0.35">
      <c r="A55" s="4">
        <v>3</v>
      </c>
      <c r="B55" s="5">
        <f t="shared" ref="B55:B72" si="17">L9</f>
        <v>115.37007299120221</v>
      </c>
      <c r="C55" s="5">
        <f t="shared" ref="C55:C72" si="18">P9/(1.03^A55)</f>
        <v>197.81775491768232</v>
      </c>
      <c r="D55" s="5">
        <f t="shared" ref="D55:D72" si="19">G9/(1.03^A55)</f>
        <v>3997.3387680546011</v>
      </c>
      <c r="F55" s="5">
        <f t="shared" si="14"/>
        <v>102.90903564157129</v>
      </c>
      <c r="G55" s="5">
        <f t="shared" si="15"/>
        <v>176.45160363998184</v>
      </c>
      <c r="H55" s="5">
        <f t="shared" si="16"/>
        <v>3565.5891262592418</v>
      </c>
    </row>
    <row r="56" spans="1:28" x14ac:dyDescent="0.35">
      <c r="A56" s="6">
        <v>4</v>
      </c>
      <c r="B56" s="7">
        <f t="shared" si="17"/>
        <v>112.00977960310894</v>
      </c>
      <c r="C56" s="7">
        <f t="shared" si="18"/>
        <v>192.05607273561392</v>
      </c>
      <c r="D56" s="7">
        <f t="shared" si="19"/>
        <v>3880.9114252957293</v>
      </c>
      <c r="F56" s="7">
        <f t="shared" si="14"/>
        <v>96.17666882389841</v>
      </c>
      <c r="G56" s="7">
        <f t="shared" si="15"/>
        <v>164.90804078502975</v>
      </c>
      <c r="H56" s="7">
        <f t="shared" si="16"/>
        <v>3332.3262862235906</v>
      </c>
    </row>
    <row r="57" spans="1:28" x14ac:dyDescent="0.35">
      <c r="A57" s="4">
        <v>5</v>
      </c>
      <c r="B57" s="5">
        <f t="shared" si="17"/>
        <v>108.74735883796986</v>
      </c>
      <c r="C57" s="5">
        <f t="shared" si="18"/>
        <v>186.46220653943101</v>
      </c>
      <c r="D57" s="5">
        <f t="shared" si="19"/>
        <v>3767.8751701900287</v>
      </c>
      <c r="F57" s="5">
        <f t="shared" si="14"/>
        <v>89.884737218596641</v>
      </c>
      <c r="G57" s="5">
        <f t="shared" si="15"/>
        <v>154.11966428507455</v>
      </c>
      <c r="H57" s="5">
        <f t="shared" si="16"/>
        <v>3114.3236319846642</v>
      </c>
    </row>
    <row r="58" spans="1:28" x14ac:dyDescent="0.35">
      <c r="A58" s="6">
        <v>6</v>
      </c>
      <c r="B58" s="7">
        <f t="shared" si="17"/>
        <v>105.57996003686392</v>
      </c>
      <c r="C58" s="7">
        <f t="shared" si="18"/>
        <v>181.03126848488446</v>
      </c>
      <c r="D58" s="7">
        <f t="shared" si="19"/>
        <v>3658.1312331942027</v>
      </c>
      <c r="F58" s="7">
        <f t="shared" si="14"/>
        <v>84.004427307099661</v>
      </c>
      <c r="G58" s="7">
        <f t="shared" si="15"/>
        <v>144.03706942530332</v>
      </c>
      <c r="H58" s="7">
        <f t="shared" si="16"/>
        <v>2910.5828336305271</v>
      </c>
    </row>
    <row r="59" spans="1:28" x14ac:dyDescent="0.35">
      <c r="A59" s="4">
        <v>7</v>
      </c>
      <c r="B59" s="5">
        <f t="shared" si="17"/>
        <v>111.41827779322912</v>
      </c>
      <c r="C59" s="5">
        <f t="shared" si="18"/>
        <v>175.75851309212084</v>
      </c>
      <c r="D59" s="5">
        <f t="shared" si="19"/>
        <v>3551.5837215477691</v>
      </c>
      <c r="F59" s="5">
        <f t="shared" si="14"/>
        <v>85.335663660198747</v>
      </c>
      <c r="G59" s="5">
        <f t="shared" si="15"/>
        <v>134.61408357504982</v>
      </c>
      <c r="H59" s="5">
        <f t="shared" si="16"/>
        <v>2720.1708725518943</v>
      </c>
    </row>
    <row r="60" spans="1:28" x14ac:dyDescent="0.35">
      <c r="A60" s="6">
        <v>8</v>
      </c>
      <c r="B60" s="7">
        <f t="shared" si="17"/>
        <v>108.17308523614479</v>
      </c>
      <c r="C60" s="7">
        <f t="shared" si="18"/>
        <v>170.63933309914646</v>
      </c>
      <c r="D60" s="7">
        <f t="shared" si="19"/>
        <v>3448.1395354832716</v>
      </c>
      <c r="F60" s="7">
        <f t="shared" si="14"/>
        <v>79.752956691774557</v>
      </c>
      <c r="G60" s="7">
        <f t="shared" si="15"/>
        <v>125.80755474303724</v>
      </c>
      <c r="H60" s="7">
        <f t="shared" si="16"/>
        <v>2542.2157687400891</v>
      </c>
    </row>
    <row r="61" spans="1:28" x14ac:dyDescent="0.35">
      <c r="A61" s="4">
        <v>9</v>
      </c>
      <c r="B61" s="5">
        <f t="shared" si="17"/>
        <v>105.02241285062601</v>
      </c>
      <c r="C61" s="5">
        <f t="shared" si="18"/>
        <v>165.6692554360645</v>
      </c>
      <c r="D61" s="5">
        <f t="shared" si="19"/>
        <v>3347.7082868769626</v>
      </c>
      <c r="F61" s="5">
        <f t="shared" si="14"/>
        <v>74.535473543714545</v>
      </c>
      <c r="G61" s="5">
        <f t="shared" si="15"/>
        <v>117.57715396545535</v>
      </c>
      <c r="H61" s="5">
        <f t="shared" si="16"/>
        <v>2375.9025876075598</v>
      </c>
    </row>
    <row r="62" spans="1:28" x14ac:dyDescent="0.35">
      <c r="A62" s="6">
        <v>10</v>
      </c>
      <c r="B62" s="7">
        <f t="shared" si="17"/>
        <v>101.963507621967</v>
      </c>
      <c r="C62" s="7">
        <f t="shared" si="18"/>
        <v>160.84393731656749</v>
      </c>
      <c r="D62" s="7">
        <f t="shared" si="19"/>
        <v>3250.2022202688954</v>
      </c>
      <c r="F62" s="7">
        <f t="shared" si="14"/>
        <v>69.659321068892098</v>
      </c>
      <c r="G62" s="7">
        <f t="shared" si="15"/>
        <v>109.88519062192091</v>
      </c>
      <c r="H62" s="7">
        <f t="shared" si="16"/>
        <v>2220.4697080444485</v>
      </c>
    </row>
    <row r="63" spans="1:28" x14ac:dyDescent="0.35">
      <c r="A63" s="4">
        <v>11</v>
      </c>
      <c r="B63" s="5">
        <f t="shared" si="17"/>
        <v>98.993696720356311</v>
      </c>
      <c r="C63" s="5">
        <f t="shared" si="18"/>
        <v>156.15916244326939</v>
      </c>
      <c r="D63" s="5">
        <f t="shared" si="19"/>
        <v>3155.5361361833939</v>
      </c>
      <c r="F63" s="5">
        <f t="shared" si="14"/>
        <v>65.102169223263644</v>
      </c>
      <c r="G63" s="5">
        <f t="shared" si="15"/>
        <v>102.69643983357093</v>
      </c>
      <c r="H63" s="5">
        <f t="shared" si="16"/>
        <v>2075.20533462098</v>
      </c>
    </row>
    <row r="64" spans="1:28" x14ac:dyDescent="0.35">
      <c r="A64" s="6">
        <v>12</v>
      </c>
      <c r="B64" s="7">
        <f t="shared" si="17"/>
        <v>105.72142368193393</v>
      </c>
      <c r="C64" s="7">
        <f t="shared" si="18"/>
        <v>151.61083732356255</v>
      </c>
      <c r="D64" s="7">
        <f t="shared" si="19"/>
        <v>3063.6273166829069</v>
      </c>
      <c r="F64" s="7">
        <f t="shared" si="14"/>
        <v>66.927463687467295</v>
      </c>
      <c r="G64" s="7">
        <f t="shared" si="15"/>
        <v>95.977981152870044</v>
      </c>
      <c r="H64" s="7">
        <f t="shared" si="16"/>
        <v>1939.4442379635325</v>
      </c>
    </row>
    <row r="65" spans="1:8" x14ac:dyDescent="0.35">
      <c r="A65" s="4">
        <v>13</v>
      </c>
      <c r="B65" s="5">
        <f t="shared" si="17"/>
        <v>102.64215891449898</v>
      </c>
      <c r="C65" s="5">
        <f t="shared" si="18"/>
        <v>147.19498769277919</v>
      </c>
      <c r="D65" s="5">
        <f t="shared" si="19"/>
        <v>2974.395453090201</v>
      </c>
      <c r="F65" s="5">
        <f t="shared" si="14"/>
        <v>62.549031483614307</v>
      </c>
      <c r="G65" s="5">
        <f t="shared" si="15"/>
        <v>89.699047806420623</v>
      </c>
      <c r="H65" s="5">
        <f t="shared" si="16"/>
        <v>1812.5647083771335</v>
      </c>
    </row>
    <row r="66" spans="1:8" x14ac:dyDescent="0.35">
      <c r="A66" s="6">
        <v>14</v>
      </c>
      <c r="B66" s="7">
        <f t="shared" si="17"/>
        <v>99.652581470387332</v>
      </c>
      <c r="C66" s="7">
        <f t="shared" si="18"/>
        <v>142.90775504153316</v>
      </c>
      <c r="D66" s="7">
        <f t="shared" si="19"/>
        <v>2887.7625758157287</v>
      </c>
      <c r="F66" s="7">
        <f t="shared" si="14"/>
        <v>58.457038769732982</v>
      </c>
      <c r="G66" s="7">
        <f t="shared" si="15"/>
        <v>83.830885800393077</v>
      </c>
      <c r="H66" s="7">
        <f t="shared" si="16"/>
        <v>1693.9857087636758</v>
      </c>
    </row>
    <row r="67" spans="1:8" x14ac:dyDescent="0.35">
      <c r="A67" s="4">
        <v>15</v>
      </c>
      <c r="B67" s="5">
        <f t="shared" si="17"/>
        <v>96.750079097463427</v>
      </c>
      <c r="C67" s="5">
        <f t="shared" si="18"/>
        <v>138.74539324420695</v>
      </c>
      <c r="D67" s="5">
        <f t="shared" si="19"/>
        <v>2803.652986228863</v>
      </c>
      <c r="F67" s="5">
        <f t="shared" si="14"/>
        <v>54.632746513769142</v>
      </c>
      <c r="G67" s="5">
        <f t="shared" si="15"/>
        <v>78.346622243358013</v>
      </c>
      <c r="H67" s="5">
        <f t="shared" si="16"/>
        <v>1583.1642137978279</v>
      </c>
    </row>
    <row r="68" spans="1:8" x14ac:dyDescent="0.35">
      <c r="A68" s="6">
        <v>16</v>
      </c>
      <c r="B68" s="7">
        <f t="shared" si="17"/>
        <v>93.932115628605274</v>
      </c>
      <c r="C68" s="7">
        <f t="shared" si="18"/>
        <v>134.70426528563783</v>
      </c>
      <c r="D68" s="7">
        <f t="shared" si="19"/>
        <v>2721.9931905134595</v>
      </c>
      <c r="F68" s="7">
        <f t="shared" si="14"/>
        <v>51.058641601653413</v>
      </c>
      <c r="G68" s="7">
        <f t="shared" si="15"/>
        <v>73.221142283512179</v>
      </c>
      <c r="H68" s="7">
        <f t="shared" si="16"/>
        <v>1479.5927231755404</v>
      </c>
    </row>
    <row r="69" spans="1:8" x14ac:dyDescent="0.35">
      <c r="A69" s="4">
        <v>17</v>
      </c>
      <c r="B69" s="5">
        <f t="shared" si="17"/>
        <v>99.486795017057673</v>
      </c>
      <c r="C69" s="5">
        <f t="shared" si="18"/>
        <v>130.78084008314354</v>
      </c>
      <c r="D69" s="5">
        <f t="shared" si="19"/>
        <v>2642.7118354499607</v>
      </c>
      <c r="F69" s="5">
        <f t="shared" si="14"/>
        <v>52.056389058610115</v>
      </c>
      <c r="G69" s="5">
        <f t="shared" si="15"/>
        <v>68.430974096740371</v>
      </c>
      <c r="H69" s="5">
        <f t="shared" si="16"/>
        <v>1382.7969375472342</v>
      </c>
    </row>
    <row r="70" spans="1:8" x14ac:dyDescent="0.35">
      <c r="A70" s="6">
        <v>18</v>
      </c>
      <c r="B70" s="7">
        <f t="shared" si="17"/>
        <v>96.589121375784146</v>
      </c>
      <c r="C70" s="7">
        <f t="shared" si="18"/>
        <v>126.97168940111023</v>
      </c>
      <c r="D70" s="7">
        <f t="shared" si="19"/>
        <v>2565.7396460679229</v>
      </c>
      <c r="F70" s="7">
        <f t="shared" si="14"/>
        <v>48.650830895897307</v>
      </c>
      <c r="G70" s="7">
        <f t="shared" si="15"/>
        <v>63.954181398822776</v>
      </c>
      <c r="H70" s="7">
        <f t="shared" si="16"/>
        <v>1292.3335864927421</v>
      </c>
    </row>
    <row r="71" spans="1:8" x14ac:dyDescent="0.35">
      <c r="A71" s="4">
        <v>19</v>
      </c>
      <c r="B71" s="5">
        <f t="shared" si="17"/>
        <v>93.775845995906934</v>
      </c>
      <c r="C71" s="5">
        <f t="shared" si="18"/>
        <v>123.27348485544682</v>
      </c>
      <c r="D71" s="5">
        <f t="shared" si="19"/>
        <v>2491.0093651144884</v>
      </c>
      <c r="F71" s="5">
        <f t="shared" si="14"/>
        <v>45.468066257847944</v>
      </c>
      <c r="G71" s="5">
        <f t="shared" si="15"/>
        <v>59.770262989553999</v>
      </c>
      <c r="H71" s="5">
        <f t="shared" si="16"/>
        <v>1207.7883985913479</v>
      </c>
    </row>
    <row r="72" spans="1:8" x14ac:dyDescent="0.35">
      <c r="A72" s="6">
        <v>20</v>
      </c>
      <c r="B72" s="7">
        <f t="shared" si="17"/>
        <v>91.04451067563781</v>
      </c>
      <c r="C72" s="7">
        <f t="shared" si="18"/>
        <v>119.68299500528818</v>
      </c>
      <c r="D72" s="7">
        <f t="shared" si="19"/>
        <v>2418.4556942859112</v>
      </c>
      <c r="F72" s="7">
        <f t="shared" si="14"/>
        <v>42.493519867147619</v>
      </c>
      <c r="G72" s="7">
        <f t="shared" si="15"/>
        <v>55.860058868742051</v>
      </c>
      <c r="H72" s="7">
        <f t="shared" si="16"/>
        <v>1128.7742042909795</v>
      </c>
    </row>
    <row r="73" spans="1:8" x14ac:dyDescent="0.35">
      <c r="A73" s="127"/>
      <c r="B73" s="128"/>
      <c r="C73" s="128"/>
      <c r="D73" s="128"/>
      <c r="F73" s="128"/>
      <c r="G73" s="128"/>
      <c r="H73" s="128"/>
    </row>
    <row r="74" spans="1:8" ht="15" thickBot="1" x14ac:dyDescent="0.4">
      <c r="A74" s="21"/>
      <c r="B74" s="124">
        <f>SUM(B53:B73)</f>
        <v>2088.1000691660483</v>
      </c>
      <c r="C74" s="124">
        <f>SUM(C53:C73)</f>
        <v>3215.9268957548716</v>
      </c>
      <c r="D74" s="124">
        <f>SUM(D53:D73)</f>
        <v>64984.81019046966</v>
      </c>
      <c r="F74" s="124">
        <f>SUM(F53:F73)</f>
        <v>1457.587404357266</v>
      </c>
      <c r="G74" s="124">
        <f>SUM(G53:G73)</f>
        <v>2290.0106144170327</v>
      </c>
      <c r="H74" s="124">
        <f>SUM(H53:H73)</f>
        <v>46274.654224414611</v>
      </c>
    </row>
  </sheetData>
  <mergeCells count="2">
    <mergeCell ref="A51:D51"/>
    <mergeCell ref="F51:H51"/>
  </mergeCells>
  <pageMargins left="0.7" right="0.7" top="0.75" bottom="0.75" header="0.3" footer="0.3"/>
  <pageSetup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5"/>
  <sheetViews>
    <sheetView workbookViewId="0">
      <selection activeCell="B37" sqref="B37"/>
    </sheetView>
  </sheetViews>
  <sheetFormatPr defaultRowHeight="14.5" x14ac:dyDescent="0.35"/>
  <cols>
    <col min="2" max="2" width="12.81640625" customWidth="1"/>
    <col min="3" max="3" width="18.1796875" customWidth="1"/>
    <col min="4" max="4" width="13.453125" customWidth="1"/>
    <col min="5" max="5" width="15.54296875" customWidth="1"/>
    <col min="6" max="6" width="14.81640625" customWidth="1"/>
    <col min="8" max="8" width="12.7265625" bestFit="1" customWidth="1"/>
  </cols>
  <sheetData>
    <row r="1" spans="1:9" ht="15.5" x14ac:dyDescent="0.35">
      <c r="A1" s="104" t="s">
        <v>224</v>
      </c>
    </row>
    <row r="3" spans="1:9" x14ac:dyDescent="0.35">
      <c r="A3" s="147" t="s">
        <v>104</v>
      </c>
      <c r="B3" s="147"/>
      <c r="C3" s="147"/>
      <c r="D3" s="147"/>
      <c r="E3" s="147"/>
      <c r="F3" s="147"/>
    </row>
    <row r="4" spans="1:9" ht="27" customHeight="1" x14ac:dyDescent="0.35">
      <c r="A4" s="99" t="s">
        <v>0</v>
      </c>
      <c r="B4" s="99" t="s">
        <v>0</v>
      </c>
      <c r="C4" s="92" t="s">
        <v>83</v>
      </c>
      <c r="D4" s="102" t="s">
        <v>82</v>
      </c>
      <c r="E4" s="100" t="s">
        <v>17</v>
      </c>
      <c r="F4" s="100" t="s">
        <v>30</v>
      </c>
    </row>
    <row r="5" spans="1:9" x14ac:dyDescent="0.35">
      <c r="A5" s="88">
        <v>0</v>
      </c>
      <c r="B5" s="88">
        <v>2017</v>
      </c>
      <c r="C5" s="88">
        <v>140000</v>
      </c>
      <c r="D5" s="52">
        <v>45000</v>
      </c>
      <c r="E5" s="52">
        <f t="shared" ref="E5:E7" si="0">D5/1.03^(A5)</f>
        <v>45000</v>
      </c>
      <c r="F5" s="52">
        <f>D5/1.07^(A5)</f>
        <v>45000</v>
      </c>
    </row>
    <row r="6" spans="1:9" x14ac:dyDescent="0.35">
      <c r="A6" s="53">
        <v>0</v>
      </c>
      <c r="B6" s="53">
        <v>2018</v>
      </c>
      <c r="C6" s="53">
        <v>140000</v>
      </c>
      <c r="D6" s="51">
        <v>45000</v>
      </c>
      <c r="E6" s="51">
        <f t="shared" si="0"/>
        <v>45000</v>
      </c>
      <c r="F6" s="51">
        <f t="shared" ref="F6:F29" si="1">D6/1.07^(A6)</f>
        <v>45000</v>
      </c>
    </row>
    <row r="7" spans="1:9" x14ac:dyDescent="0.35">
      <c r="A7" s="88">
        <v>0</v>
      </c>
      <c r="B7" s="88">
        <v>2019</v>
      </c>
      <c r="C7" s="88">
        <v>140000</v>
      </c>
      <c r="D7" s="52">
        <v>45000</v>
      </c>
      <c r="E7" s="52">
        <f t="shared" si="0"/>
        <v>45000</v>
      </c>
      <c r="F7" s="52">
        <f t="shared" si="1"/>
        <v>45000</v>
      </c>
    </row>
    <row r="8" spans="1:9" x14ac:dyDescent="0.35">
      <c r="A8" s="53">
        <v>0</v>
      </c>
      <c r="B8" s="53">
        <v>2020</v>
      </c>
      <c r="C8" s="53">
        <v>140000</v>
      </c>
      <c r="D8" s="51">
        <v>45000</v>
      </c>
      <c r="E8" s="51">
        <f>D8/1.03^(A8)</f>
        <v>45000</v>
      </c>
      <c r="F8" s="51">
        <f t="shared" si="1"/>
        <v>45000</v>
      </c>
      <c r="I8" s="30"/>
    </row>
    <row r="9" spans="1:9" x14ac:dyDescent="0.35">
      <c r="A9" s="88">
        <v>0</v>
      </c>
      <c r="B9" s="88">
        <v>2021</v>
      </c>
      <c r="C9" s="88">
        <v>140000</v>
      </c>
      <c r="D9" s="52">
        <v>45000</v>
      </c>
      <c r="E9" s="52">
        <f t="shared" ref="E9:E29" si="2">D9/1.03^(A9)</f>
        <v>45000</v>
      </c>
      <c r="F9" s="52">
        <f t="shared" si="1"/>
        <v>45000</v>
      </c>
    </row>
    <row r="10" spans="1:9" x14ac:dyDescent="0.35">
      <c r="A10" s="53">
        <v>1</v>
      </c>
      <c r="B10" s="53">
        <v>2022</v>
      </c>
      <c r="C10" s="53">
        <v>140000</v>
      </c>
      <c r="D10" s="51">
        <v>45000</v>
      </c>
      <c r="E10" s="51">
        <f t="shared" si="2"/>
        <v>43689.320388349515</v>
      </c>
      <c r="F10" s="51">
        <f t="shared" si="1"/>
        <v>42056.074766355137</v>
      </c>
    </row>
    <row r="11" spans="1:9" x14ac:dyDescent="0.35">
      <c r="A11" s="66">
        <v>2</v>
      </c>
      <c r="B11" s="88">
        <v>2023</v>
      </c>
      <c r="C11" s="66">
        <v>140000</v>
      </c>
      <c r="D11" s="52">
        <v>45000</v>
      </c>
      <c r="E11" s="52">
        <f t="shared" si="2"/>
        <v>42416.815911018944</v>
      </c>
      <c r="F11" s="52">
        <f t="shared" si="1"/>
        <v>39304.742772294521</v>
      </c>
    </row>
    <row r="12" spans="1:9" x14ac:dyDescent="0.35">
      <c r="A12" s="53">
        <v>3</v>
      </c>
      <c r="B12" s="53">
        <v>2024</v>
      </c>
      <c r="C12" s="53">
        <v>140000</v>
      </c>
      <c r="D12" s="51">
        <v>45000</v>
      </c>
      <c r="E12" s="51">
        <f t="shared" si="2"/>
        <v>41181.374670892183</v>
      </c>
      <c r="F12" s="51">
        <f t="shared" si="1"/>
        <v>36733.404460088335</v>
      </c>
    </row>
    <row r="13" spans="1:9" x14ac:dyDescent="0.35">
      <c r="A13" s="88">
        <v>4</v>
      </c>
      <c r="B13" s="88">
        <v>2025</v>
      </c>
      <c r="C13" s="88">
        <v>140000</v>
      </c>
      <c r="D13" s="52">
        <v>45000</v>
      </c>
      <c r="E13" s="52">
        <f t="shared" si="2"/>
        <v>39981.917156206007</v>
      </c>
      <c r="F13" s="52">
        <f t="shared" si="1"/>
        <v>34330.284542138637</v>
      </c>
    </row>
    <row r="14" spans="1:9" x14ac:dyDescent="0.35">
      <c r="A14" s="53">
        <v>5</v>
      </c>
      <c r="B14" s="53">
        <v>2026</v>
      </c>
      <c r="C14" s="53">
        <v>140000</v>
      </c>
      <c r="D14" s="51">
        <v>45000</v>
      </c>
      <c r="E14" s="51">
        <f t="shared" si="2"/>
        <v>38817.395297287381</v>
      </c>
      <c r="F14" s="51">
        <f t="shared" si="1"/>
        <v>32084.378076765075</v>
      </c>
    </row>
    <row r="15" spans="1:9" x14ac:dyDescent="0.35">
      <c r="A15" s="66">
        <v>6</v>
      </c>
      <c r="B15" s="88">
        <v>2027</v>
      </c>
      <c r="C15" s="66">
        <v>140000</v>
      </c>
      <c r="D15" s="52">
        <v>45000</v>
      </c>
      <c r="E15" s="52">
        <f t="shared" si="2"/>
        <v>37686.79155076445</v>
      </c>
      <c r="F15" s="52">
        <f t="shared" si="1"/>
        <v>29985.400071743064</v>
      </c>
    </row>
    <row r="16" spans="1:9" x14ac:dyDescent="0.35">
      <c r="A16" s="53">
        <v>7</v>
      </c>
      <c r="B16" s="53">
        <v>2028</v>
      </c>
      <c r="C16" s="53">
        <v>140000</v>
      </c>
      <c r="D16" s="51">
        <v>45000</v>
      </c>
      <c r="E16" s="51">
        <f t="shared" si="2"/>
        <v>36589.118010450919</v>
      </c>
      <c r="F16" s="51">
        <f t="shared" si="1"/>
        <v>28023.738384806598</v>
      </c>
    </row>
    <row r="17" spans="1:6" x14ac:dyDescent="0.35">
      <c r="A17" s="88">
        <v>8</v>
      </c>
      <c r="B17" s="88">
        <v>2029</v>
      </c>
      <c r="C17" s="88">
        <v>140000</v>
      </c>
      <c r="D17" s="52">
        <v>45000</v>
      </c>
      <c r="E17" s="52">
        <f t="shared" si="2"/>
        <v>35523.415544127107</v>
      </c>
      <c r="F17" s="52">
        <f t="shared" si="1"/>
        <v>26190.409705426729</v>
      </c>
    </row>
    <row r="18" spans="1:6" x14ac:dyDescent="0.35">
      <c r="A18" s="53">
        <v>9</v>
      </c>
      <c r="B18" s="53">
        <v>2030</v>
      </c>
      <c r="C18" s="53">
        <v>140000</v>
      </c>
      <c r="D18" s="51">
        <v>45000</v>
      </c>
      <c r="E18" s="51">
        <f t="shared" si="2"/>
        <v>34488.752955463213</v>
      </c>
      <c r="F18" s="51">
        <f t="shared" si="1"/>
        <v>24477.018416286661</v>
      </c>
    </row>
    <row r="19" spans="1:6" x14ac:dyDescent="0.35">
      <c r="A19" s="66">
        <v>10</v>
      </c>
      <c r="B19" s="88">
        <v>2031</v>
      </c>
      <c r="C19" s="66">
        <v>140000</v>
      </c>
      <c r="D19" s="52">
        <v>45000</v>
      </c>
      <c r="E19" s="52">
        <f t="shared" si="2"/>
        <v>33484.226170352631</v>
      </c>
      <c r="F19" s="52">
        <f t="shared" si="1"/>
        <v>22875.7181460623</v>
      </c>
    </row>
    <row r="20" spans="1:6" x14ac:dyDescent="0.35">
      <c r="A20" s="53">
        <v>11</v>
      </c>
      <c r="B20" s="53">
        <v>2032</v>
      </c>
      <c r="C20" s="53">
        <v>140000</v>
      </c>
      <c r="D20" s="51">
        <v>45000</v>
      </c>
      <c r="E20" s="51">
        <f t="shared" si="2"/>
        <v>32508.957446944303</v>
      </c>
      <c r="F20" s="51">
        <f t="shared" si="1"/>
        <v>21379.175837441398</v>
      </c>
    </row>
    <row r="21" spans="1:6" x14ac:dyDescent="0.35">
      <c r="A21" s="88">
        <v>12</v>
      </c>
      <c r="B21" s="88">
        <v>2033</v>
      </c>
      <c r="C21" s="88">
        <v>140000</v>
      </c>
      <c r="D21" s="52">
        <v>45000</v>
      </c>
      <c r="E21" s="52">
        <f t="shared" si="2"/>
        <v>31562.094608683794</v>
      </c>
      <c r="F21" s="52">
        <f t="shared" si="1"/>
        <v>19980.538165833088</v>
      </c>
    </row>
    <row r="22" spans="1:6" x14ac:dyDescent="0.35">
      <c r="A22" s="53">
        <v>13</v>
      </c>
      <c r="B22" s="53">
        <v>2034</v>
      </c>
      <c r="C22" s="53">
        <v>140000</v>
      </c>
      <c r="D22" s="51">
        <v>45000</v>
      </c>
      <c r="E22" s="51">
        <f t="shared" si="2"/>
        <v>30642.810299693007</v>
      </c>
      <c r="F22" s="51">
        <f t="shared" si="1"/>
        <v>18673.400154984192</v>
      </c>
    </row>
    <row r="23" spans="1:6" x14ac:dyDescent="0.35">
      <c r="A23" s="66">
        <v>14</v>
      </c>
      <c r="B23" s="88">
        <v>2035</v>
      </c>
      <c r="C23" s="66">
        <v>140000</v>
      </c>
      <c r="D23" s="52">
        <v>45000</v>
      </c>
      <c r="E23" s="52">
        <f t="shared" si="2"/>
        <v>29750.301261837867</v>
      </c>
      <c r="F23" s="52">
        <f t="shared" si="1"/>
        <v>17451.775845779619</v>
      </c>
    </row>
    <row r="24" spans="1:6" x14ac:dyDescent="0.35">
      <c r="A24" s="53">
        <v>15</v>
      </c>
      <c r="B24" s="53">
        <v>2036</v>
      </c>
      <c r="C24" s="53">
        <v>140000</v>
      </c>
      <c r="D24" s="51">
        <v>45000</v>
      </c>
      <c r="E24" s="51">
        <f t="shared" si="2"/>
        <v>28883.787632852294</v>
      </c>
      <c r="F24" s="51">
        <f t="shared" si="1"/>
        <v>16310.070883906184</v>
      </c>
    </row>
    <row r="25" spans="1:6" x14ac:dyDescent="0.35">
      <c r="A25" s="88">
        <v>16</v>
      </c>
      <c r="B25" s="88">
        <v>2037</v>
      </c>
      <c r="C25" s="88">
        <v>140000</v>
      </c>
      <c r="D25" s="52">
        <v>45000</v>
      </c>
      <c r="E25" s="52">
        <f t="shared" si="2"/>
        <v>28042.512264905148</v>
      </c>
      <c r="F25" s="52">
        <f t="shared" si="1"/>
        <v>15243.056900846905</v>
      </c>
    </row>
    <row r="26" spans="1:6" x14ac:dyDescent="0.35">
      <c r="A26" s="53">
        <v>17</v>
      </c>
      <c r="B26" s="53">
        <v>2038</v>
      </c>
      <c r="C26" s="53">
        <v>140000</v>
      </c>
      <c r="D26" s="51">
        <v>45000</v>
      </c>
      <c r="E26" s="51">
        <f t="shared" si="2"/>
        <v>27225.740063014706</v>
      </c>
      <c r="F26" s="51">
        <f t="shared" si="1"/>
        <v>14245.847570884956</v>
      </c>
    </row>
    <row r="27" spans="1:6" x14ac:dyDescent="0.35">
      <c r="A27" s="66">
        <v>18</v>
      </c>
      <c r="B27" s="88">
        <v>2039</v>
      </c>
      <c r="C27" s="66">
        <v>140000</v>
      </c>
      <c r="D27" s="52">
        <v>45000</v>
      </c>
      <c r="E27" s="52">
        <f t="shared" si="2"/>
        <v>26432.757342732722</v>
      </c>
      <c r="F27" s="52">
        <f t="shared" si="1"/>
        <v>13313.876234471922</v>
      </c>
    </row>
    <row r="28" spans="1:6" x14ac:dyDescent="0.35">
      <c r="A28" s="53">
        <v>19</v>
      </c>
      <c r="B28" s="53">
        <v>2040</v>
      </c>
      <c r="C28" s="53">
        <v>140000</v>
      </c>
      <c r="D28" s="51">
        <v>45000</v>
      </c>
      <c r="E28" s="51">
        <f t="shared" si="2"/>
        <v>25662.871206536624</v>
      </c>
      <c r="F28" s="51">
        <f t="shared" si="1"/>
        <v>12442.874985487777</v>
      </c>
    </row>
    <row r="29" spans="1:6" x14ac:dyDescent="0.35">
      <c r="A29" s="129">
        <v>20</v>
      </c>
      <c r="B29" s="88">
        <v>2041</v>
      </c>
      <c r="C29" s="129">
        <v>140000</v>
      </c>
      <c r="D29" s="121">
        <v>45000</v>
      </c>
      <c r="E29" s="121">
        <f t="shared" si="2"/>
        <v>24915.408938385073</v>
      </c>
      <c r="F29" s="121">
        <f t="shared" si="1"/>
        <v>11628.855126624092</v>
      </c>
    </row>
    <row r="30" spans="1:6" ht="15" thickBot="1" x14ac:dyDescent="0.4">
      <c r="A30" s="110"/>
      <c r="B30" s="110"/>
      <c r="C30" s="110"/>
      <c r="D30" s="130">
        <f>SUM(D8:D29)</f>
        <v>990000</v>
      </c>
      <c r="E30" s="119">
        <f>SUM(E8:E29)</f>
        <v>759486.36872049805</v>
      </c>
      <c r="F30" s="119">
        <f>SUM(F8:F29)</f>
        <v>566730.6410482272</v>
      </c>
    </row>
    <row r="33" spans="1:5" x14ac:dyDescent="0.35">
      <c r="A33" t="s">
        <v>217</v>
      </c>
    </row>
    <row r="34" spans="1:5" x14ac:dyDescent="0.35">
      <c r="A34" s="28"/>
      <c r="B34" s="28"/>
      <c r="E34" s="15"/>
    </row>
    <row r="35" spans="1:5" x14ac:dyDescent="0.35">
      <c r="C35" s="34"/>
    </row>
  </sheetData>
  <mergeCells count="1">
    <mergeCell ref="A3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Travel</vt:lpstr>
      <vt:lpstr>Travel-Safety</vt:lpstr>
      <vt:lpstr>Travel-WalkingBiking</vt:lpstr>
      <vt:lpstr>Res. Property Value</vt:lpstr>
      <vt:lpstr>New Development</vt:lpstr>
      <vt:lpstr>Lifetime Maint. Costs-Trails</vt:lpstr>
      <vt:lpstr>Solar Lighting</vt:lpstr>
      <vt:lpstr>Transit Bus System</vt:lpstr>
      <vt:lpstr>Transit Bus Maint.</vt:lpstr>
      <vt:lpstr>Storm Drains</vt:lpstr>
    </vt:vector>
  </TitlesOfParts>
  <Company>J-U-B Engineers,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Staats</dc:creator>
  <cp:lastModifiedBy>Thomas Stanley</cp:lastModifiedBy>
  <cp:lastPrinted>2018-07-18T16:40:19Z</cp:lastPrinted>
  <dcterms:created xsi:type="dcterms:W3CDTF">2011-10-13T16:17:41Z</dcterms:created>
  <dcterms:modified xsi:type="dcterms:W3CDTF">2019-07-08T16:35:46Z</dcterms:modified>
</cp:coreProperties>
</file>